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ifisoK\Documents\SECTION 71 REPORTS\2020...2021\"/>
    </mc:Choice>
  </mc:AlternateContent>
  <workbookProtection workbookPassword="FB84" lockStructure="1"/>
  <bookViews>
    <workbookView xWindow="0" yWindow="0" windowWidth="23040" windowHeight="8904" tabRatio="792" firstSheet="8" activeTab="15"/>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5" i="177" l="1"/>
  <c r="H9" i="269" l="1"/>
  <c r="H10" i="269"/>
  <c r="H12" i="269"/>
  <c r="H16" i="269"/>
  <c r="H7" i="177" l="1"/>
  <c r="H8" i="177"/>
  <c r="H9" i="177"/>
  <c r="H10" i="177"/>
  <c r="H11" i="177"/>
  <c r="H12" i="177"/>
  <c r="H158" i="335" l="1"/>
  <c r="H152" i="335"/>
  <c r="H149" i="335"/>
  <c r="H108"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9" i="326"/>
  <c r="H46" i="326"/>
  <c r="H152" i="326"/>
  <c r="H155" i="326"/>
  <c r="H161"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3" i="318"/>
  <c r="H92" i="318"/>
  <c r="H91" i="318"/>
  <c r="H90" i="318"/>
  <c r="H89" i="318"/>
  <c r="H88" i="318"/>
  <c r="H87"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207" i="324"/>
  <c r="H206" i="324"/>
  <c r="H205" i="324"/>
  <c r="H197" i="324"/>
  <c r="H194" i="324"/>
  <c r="H175" i="324"/>
  <c r="H174" i="324"/>
  <c r="H17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147" i="330"/>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H69" i="268" l="1"/>
  <c r="H68" i="268"/>
  <c r="H8" i="326" l="1"/>
  <c r="H151" i="242"/>
  <c r="I151" i="242" s="1"/>
  <c r="J151" i="242" s="1"/>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H55" i="270"/>
  <c r="I55" i="270" s="1"/>
  <c r="J55" i="270" s="1"/>
  <c r="H52" i="270"/>
  <c r="I52" i="270" s="1"/>
  <c r="J52" i="270" s="1"/>
  <c r="I51" i="270"/>
  <c r="J51" i="270" s="1"/>
  <c r="I50" i="270"/>
  <c r="J50" i="270" s="1"/>
  <c r="H48" i="270"/>
  <c r="H47" i="270"/>
  <c r="H46" i="270"/>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88" i="318"/>
  <c r="K89" i="318"/>
  <c r="K90" i="318"/>
  <c r="K91" i="318"/>
  <c r="K92" i="318"/>
  <c r="K99" i="318"/>
  <c r="K100" i="318"/>
  <c r="K93" i="318"/>
  <c r="K87" i="318"/>
  <c r="I91" i="318"/>
  <c r="J91" i="318"/>
  <c r="K73" i="318"/>
  <c r="K75" i="318"/>
  <c r="K76" i="318"/>
  <c r="K77" i="318"/>
  <c r="K83" i="318"/>
  <c r="K71" i="318"/>
  <c r="K158" i="335"/>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161" i="242"/>
  <c r="K160" i="242" s="1"/>
  <c r="K155" i="242"/>
  <c r="K152" i="242"/>
  <c r="K151" i="242" s="1"/>
  <c r="K149" i="242"/>
  <c r="K148" i="242" s="1"/>
  <c r="K144" i="242"/>
  <c r="K119" i="242"/>
  <c r="K108" i="242"/>
  <c r="K103" i="242" s="1"/>
  <c r="K88" i="242"/>
  <c r="K84" i="242"/>
  <c r="K77" i="242"/>
  <c r="K76" i="242" s="1"/>
  <c r="K75" i="242" s="1"/>
  <c r="K40" i="242"/>
  <c r="K18" i="242"/>
  <c r="K9" i="242"/>
  <c r="K44" i="318"/>
  <c r="K42" i="318"/>
  <c r="K41" i="318"/>
  <c r="K40" i="318"/>
  <c r="K39" i="318"/>
  <c r="K38" i="318"/>
  <c r="K37" i="318"/>
  <c r="K36" i="318"/>
  <c r="K35" i="318"/>
  <c r="K34" i="318"/>
  <c r="K25" i="318"/>
  <c r="K24" i="318"/>
  <c r="K23" i="318"/>
  <c r="K22" i="318"/>
  <c r="K20" i="318"/>
  <c r="K19" i="318"/>
  <c r="K18" i="318"/>
  <c r="K8" i="318"/>
  <c r="K9" i="318"/>
  <c r="K10" i="318"/>
  <c r="K11" i="318"/>
  <c r="K12" i="318"/>
  <c r="K7" i="318"/>
  <c r="K57" i="269"/>
  <c r="K45" i="269" s="1"/>
  <c r="K62" i="269" s="1"/>
  <c r="K64" i="269" s="1"/>
  <c r="K55" i="269"/>
  <c r="K54" i="269"/>
  <c r="K52" i="269"/>
  <c r="K51" i="269"/>
  <c r="K50" i="269"/>
  <c r="I44" i="269"/>
  <c r="J44" i="269" s="1"/>
  <c r="I42" i="269"/>
  <c r="J42" i="269" s="1"/>
  <c r="I41" i="269"/>
  <c r="J41" i="269" s="1"/>
  <c r="I40" i="269"/>
  <c r="J40" i="269" s="1"/>
  <c r="I38" i="269"/>
  <c r="J38" i="269" s="1"/>
  <c r="K39" i="269"/>
  <c r="K43" i="269"/>
  <c r="K37" i="269"/>
  <c r="I25" i="269"/>
  <c r="J25" i="269" s="1"/>
  <c r="I20" i="269"/>
  <c r="J20" i="269" s="1"/>
  <c r="I19" i="269"/>
  <c r="J19" i="269" s="1"/>
  <c r="I18" i="269"/>
  <c r="J18" i="269" s="1"/>
  <c r="K28" i="269"/>
  <c r="K27" i="269"/>
  <c r="K26" i="269"/>
  <c r="K24" i="269"/>
  <c r="K23" i="269"/>
  <c r="K22" i="269"/>
  <c r="K21" i="269"/>
  <c r="I28" i="269"/>
  <c r="J28" i="269" s="1"/>
  <c r="I27" i="269"/>
  <c r="J27" i="269" s="1"/>
  <c r="I22" i="269"/>
  <c r="J22" i="269" s="1"/>
  <c r="I21" i="269"/>
  <c r="J21" i="269" s="1"/>
  <c r="I11" i="269"/>
  <c r="J11" i="269" s="1"/>
  <c r="I13" i="269"/>
  <c r="J13" i="269" s="1"/>
  <c r="I14" i="269"/>
  <c r="J14" i="269" s="1"/>
  <c r="I15" i="269"/>
  <c r="J15" i="269" s="1"/>
  <c r="K10" i="269"/>
  <c r="K12" i="269"/>
  <c r="K16" i="269"/>
  <c r="K9" i="269"/>
  <c r="I16" i="269"/>
  <c r="J16" i="269" s="1"/>
  <c r="I12" i="269"/>
  <c r="J12" i="269" s="1"/>
  <c r="I10" i="269"/>
  <c r="J10" i="269" s="1"/>
  <c r="I48" i="270"/>
  <c r="J48" i="270" s="1"/>
  <c r="I47" i="270"/>
  <c r="J47" i="270" s="1"/>
  <c r="I38" i="270"/>
  <c r="J38" i="270" s="1"/>
  <c r="I40" i="270"/>
  <c r="J40" i="270" s="1"/>
  <c r="I41" i="270"/>
  <c r="J41" i="270" s="1"/>
  <c r="I42" i="270"/>
  <c r="J42" i="270" s="1"/>
  <c r="I44" i="270"/>
  <c r="J44" i="270" s="1"/>
  <c r="K53" i="270"/>
  <c r="K54" i="270"/>
  <c r="K56" i="270"/>
  <c r="K50" i="270"/>
  <c r="K45" i="270" s="1"/>
  <c r="K61" i="270" s="1"/>
  <c r="K63" i="270" s="1"/>
  <c r="K51" i="270"/>
  <c r="K49" i="270"/>
  <c r="I54" i="270"/>
  <c r="J54" i="270" s="1"/>
  <c r="I53" i="270"/>
  <c r="J53" i="270" s="1"/>
  <c r="I49" i="270"/>
  <c r="J49" i="270" s="1"/>
  <c r="K43" i="270"/>
  <c r="K39" i="270"/>
  <c r="I43" i="270"/>
  <c r="J43" i="270" s="1"/>
  <c r="I39" i="270"/>
  <c r="J39" i="270" s="1"/>
  <c r="K37" i="270"/>
  <c r="A45" i="270"/>
  <c r="I20" i="270"/>
  <c r="J20" i="270" s="1"/>
  <c r="I18" i="270"/>
  <c r="J18" i="270" s="1"/>
  <c r="I11" i="270"/>
  <c r="J11" i="270" s="1"/>
  <c r="I13" i="270"/>
  <c r="J13" i="270" s="1"/>
  <c r="I14" i="270"/>
  <c r="J14" i="270" s="1"/>
  <c r="I15" i="270"/>
  <c r="J15" i="270" s="1"/>
  <c r="K28" i="270"/>
  <c r="K27" i="270"/>
  <c r="K26" i="270"/>
  <c r="K24" i="270"/>
  <c r="K23" i="270"/>
  <c r="K22" i="270"/>
  <c r="K21" i="270"/>
  <c r="I24" i="270"/>
  <c r="J24" i="270" s="1"/>
  <c r="I23" i="270"/>
  <c r="J23" i="270" s="1"/>
  <c r="I22" i="270"/>
  <c r="J22" i="270" s="1"/>
  <c r="I21" i="270"/>
  <c r="J21" i="270" s="1"/>
  <c r="K16" i="270"/>
  <c r="K12" i="270"/>
  <c r="K10" i="270"/>
  <c r="K9" i="270"/>
  <c r="I12" i="270"/>
  <c r="J12" i="270" s="1"/>
  <c r="I10" i="270"/>
  <c r="J10" i="270" s="1"/>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7" i="178"/>
  <c r="G12" i="178"/>
  <c r="G10" i="178"/>
  <c r="G9" i="178"/>
  <c r="G8" i="178"/>
  <c r="G7" i="178"/>
  <c r="K207" i="324"/>
  <c r="K206" i="324"/>
  <c r="K205" i="324"/>
  <c r="K197" i="324"/>
  <c r="K194" i="324"/>
  <c r="K175" i="324"/>
  <c r="K174" i="324"/>
  <c r="K172" i="324"/>
  <c r="K161" i="324"/>
  <c r="K38" i="324"/>
  <c r="K37" i="324"/>
  <c r="K36" i="324"/>
  <c r="K33" i="324"/>
  <c r="K32" i="324"/>
  <c r="K22" i="324"/>
  <c r="K21" i="324"/>
  <c r="K20" i="324"/>
  <c r="K14" i="324"/>
  <c r="K9" i="324"/>
  <c r="K73" i="268"/>
  <c r="K67" i="268"/>
  <c r="K66" i="268"/>
  <c r="K62" i="268"/>
  <c r="K61" i="268"/>
  <c r="K60" i="268"/>
  <c r="K59" i="268"/>
  <c r="K58" i="268"/>
  <c r="K55" i="268"/>
  <c r="K54" i="268"/>
  <c r="K51" i="268"/>
  <c r="K48" i="268"/>
  <c r="K45" i="268"/>
  <c r="K44" i="268"/>
  <c r="K39" i="182"/>
  <c r="K34" i="182"/>
  <c r="K33" i="182"/>
  <c r="K32" i="182"/>
  <c r="K31" i="182"/>
  <c r="K30" i="182"/>
  <c r="K36" i="182"/>
  <c r="K29" i="182"/>
  <c r="K28" i="182"/>
  <c r="K27" i="182"/>
  <c r="K26" i="182"/>
  <c r="K25" i="182"/>
  <c r="J12" i="267"/>
  <c r="K20" i="182"/>
  <c r="K19" i="182"/>
  <c r="K18" i="182"/>
  <c r="K17" i="182"/>
  <c r="K16" i="182"/>
  <c r="K14" i="182"/>
  <c r="K13" i="182"/>
  <c r="K12" i="182"/>
  <c r="K10" i="182"/>
  <c r="K9" i="182"/>
  <c r="K8" i="182"/>
  <c r="K7" i="182"/>
  <c r="K6" i="182"/>
  <c r="K34" i="181"/>
  <c r="K39" i="181"/>
  <c r="K33" i="181"/>
  <c r="K32" i="181"/>
  <c r="K31" i="181"/>
  <c r="K30" i="181"/>
  <c r="K29" i="181"/>
  <c r="K28" i="181"/>
  <c r="K27" i="181"/>
  <c r="K26" i="181"/>
  <c r="K25" i="181"/>
  <c r="K20" i="181"/>
  <c r="K19" i="181"/>
  <c r="K18" i="181"/>
  <c r="K17" i="181"/>
  <c r="K16" i="181"/>
  <c r="K14" i="181"/>
  <c r="K13" i="181"/>
  <c r="K12" i="181"/>
  <c r="K10" i="181"/>
  <c r="K9" i="181"/>
  <c r="K8" i="181"/>
  <c r="K7" i="181"/>
  <c r="K6" i="181"/>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3" i="330"/>
  <c r="K121" i="330"/>
  <c r="K120" i="330"/>
  <c r="K115" i="330"/>
  <c r="K110" i="330"/>
  <c r="K106" i="330"/>
  <c r="K102" i="330"/>
  <c r="K101" i="330"/>
  <c r="K97" i="330"/>
  <c r="K88" i="330"/>
  <c r="K83" i="330"/>
  <c r="K65" i="330"/>
  <c r="K62" i="330"/>
  <c r="K60" i="330"/>
  <c r="K53" i="330"/>
  <c r="K44" i="330"/>
  <c r="K41" i="330"/>
  <c r="K33" i="330"/>
  <c r="K31" i="330"/>
  <c r="K17" i="330"/>
  <c r="K16" i="330"/>
  <c r="K15" i="330"/>
  <c r="K13" i="330"/>
  <c r="D76" i="330"/>
  <c r="D75" i="330"/>
  <c r="K9" i="330"/>
  <c r="I46" i="270"/>
  <c r="J46" i="270" s="1"/>
  <c r="I28" i="270"/>
  <c r="J28" i="270" s="1"/>
  <c r="I26" i="270"/>
  <c r="J26" i="270" s="1"/>
  <c r="I9" i="270"/>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c r="H99" i="335"/>
  <c r="I97" i="335"/>
  <c r="J97" i="335"/>
  <c r="I93" i="335"/>
  <c r="J93" i="335"/>
  <c r="I89" i="335"/>
  <c r="J89" i="335"/>
  <c r="I85" i="335"/>
  <c r="J85" i="335"/>
  <c r="I81" i="335"/>
  <c r="J81" i="335"/>
  <c r="I77" i="335"/>
  <c r="J77" i="335"/>
  <c r="H69" i="335"/>
  <c r="I69" i="335"/>
  <c r="J69" i="335"/>
  <c r="H63" i="335"/>
  <c r="I63" i="335"/>
  <c r="J63" i="335"/>
  <c r="I59" i="335"/>
  <c r="J59" i="335"/>
  <c r="H53" i="335"/>
  <c r="I53" i="335"/>
  <c r="J53" i="335"/>
  <c r="I51" i="335"/>
  <c r="J51" i="335" s="1"/>
  <c r="I47" i="335"/>
  <c r="J47" i="335" s="1"/>
  <c r="I46" i="335"/>
  <c r="J46" i="335" s="1"/>
  <c r="H38" i="335"/>
  <c r="I34" i="335"/>
  <c r="J34" i="335"/>
  <c r="I30" i="335"/>
  <c r="J30" i="335" s="1"/>
  <c r="I25" i="335"/>
  <c r="J25" i="335"/>
  <c r="H17" i="335"/>
  <c r="I14" i="335"/>
  <c r="J14" i="335"/>
  <c r="I39" i="324"/>
  <c r="J39" i="324" s="1"/>
  <c r="I38" i="324"/>
  <c r="J38" i="324" s="1"/>
  <c r="I34" i="324"/>
  <c r="J34" i="324" s="1"/>
  <c r="I33" i="324"/>
  <c r="J33" i="324" s="1"/>
  <c r="I32" i="324"/>
  <c r="J32" i="324" s="1"/>
  <c r="I30" i="324"/>
  <c r="J30" i="324" s="1"/>
  <c r="I28" i="324"/>
  <c r="J28" i="324"/>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104" i="330"/>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O33" i="317"/>
  <c r="I33" i="317"/>
  <c r="I54" i="317"/>
  <c r="H33" i="317"/>
  <c r="C33" i="317"/>
  <c r="A25" i="317"/>
  <c r="A24" i="317"/>
  <c r="A69" i="268"/>
  <c r="A22" i="267"/>
  <c r="A25" i="238"/>
  <c r="N22" i="238"/>
  <c r="K22" i="238"/>
  <c r="K24" i="238" s="1"/>
  <c r="N12" i="238"/>
  <c r="M12" i="238"/>
  <c r="K12" i="238"/>
  <c r="O21" i="238"/>
  <c r="O19" i="238"/>
  <c r="O18" i="238"/>
  <c r="O17" i="238"/>
  <c r="O16" i="238"/>
  <c r="O15" i="238"/>
  <c r="M22" i="238" s="1"/>
  <c r="M24" i="238" s="1"/>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F25" i="178"/>
  <c r="E25" i="178"/>
  <c r="D25" i="178"/>
  <c r="D26" i="178"/>
  <c r="E39" i="174"/>
  <c r="C25" i="178"/>
  <c r="K22" i="182"/>
  <c r="G22" i="182"/>
  <c r="G55" i="174" s="1"/>
  <c r="F22" i="182"/>
  <c r="F53" i="182" s="1"/>
  <c r="E22" i="182"/>
  <c r="D22" i="182"/>
  <c r="D53" i="182"/>
  <c r="C22" i="182"/>
  <c r="I184" i="330"/>
  <c r="J184" i="330" s="1"/>
  <c r="A184" i="330"/>
  <c r="A183" i="330"/>
  <c r="I62" i="330"/>
  <c r="J62" i="330" s="1"/>
  <c r="K53" i="333"/>
  <c r="H53" i="333"/>
  <c r="G53" i="333"/>
  <c r="F53" i="333"/>
  <c r="E53" i="333"/>
  <c r="D53" i="333"/>
  <c r="K53" i="335"/>
  <c r="G53" i="335"/>
  <c r="F53" i="335"/>
  <c r="E53" i="335"/>
  <c r="D53" i="335"/>
  <c r="K8" i="335"/>
  <c r="H8" i="335"/>
  <c r="G8" i="335"/>
  <c r="F8" i="335"/>
  <c r="E8" i="335"/>
  <c r="D8" i="335"/>
  <c r="K8" i="333"/>
  <c r="G8" i="333"/>
  <c r="I8" i="333" s="1"/>
  <c r="J8" i="333" s="1"/>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G7" i="326" s="1"/>
  <c r="G166" i="326" s="1"/>
  <c r="F8" i="326"/>
  <c r="E8" i="326"/>
  <c r="D8" i="326"/>
  <c r="K53" i="242"/>
  <c r="H53" i="242"/>
  <c r="G53" i="242"/>
  <c r="F53" i="242"/>
  <c r="E53" i="242"/>
  <c r="D53" i="242"/>
  <c r="K8" i="242"/>
  <c r="G8" i="242"/>
  <c r="I8" i="242" s="1"/>
  <c r="J8" i="242" s="1"/>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c r="J151" i="335"/>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s="1"/>
  <c r="I104" i="335"/>
  <c r="J104" i="335" s="1"/>
  <c r="K103" i="335"/>
  <c r="G103" i="335"/>
  <c r="F103" i="335"/>
  <c r="E103" i="335"/>
  <c r="D103" i="335"/>
  <c r="C103" i="335"/>
  <c r="I102" i="335"/>
  <c r="J102" i="335" s="1"/>
  <c r="I100" i="335"/>
  <c r="J100" i="335"/>
  <c r="K99" i="335"/>
  <c r="G99" i="335"/>
  <c r="I99" i="335" s="1"/>
  <c r="J99" i="335" s="1"/>
  <c r="F99" i="335"/>
  <c r="F75" i="335" s="1"/>
  <c r="E99" i="335"/>
  <c r="E75"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s="1"/>
  <c r="I49" i="335"/>
  <c r="J49" i="335" s="1"/>
  <c r="I48" i="335"/>
  <c r="J48" i="335"/>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I148" i="333" s="1"/>
  <c r="J148" i="333" s="1"/>
  <c r="F148" i="333"/>
  <c r="E148" i="333"/>
  <c r="D148" i="333"/>
  <c r="C148" i="333"/>
  <c r="I146" i="333"/>
  <c r="J146" i="333" s="1"/>
  <c r="I145" i="333"/>
  <c r="J145" i="333" s="1"/>
  <c r="I143" i="333"/>
  <c r="J143" i="333" s="1"/>
  <c r="I142" i="333"/>
  <c r="J142" i="333" s="1"/>
  <c r="I141" i="333"/>
  <c r="J141" i="333" s="1"/>
  <c r="K140" i="333"/>
  <c r="K138" i="333"/>
  <c r="G140" i="333"/>
  <c r="F140" i="333"/>
  <c r="F138" i="333" s="1"/>
  <c r="E140" i="333"/>
  <c r="E138" i="333"/>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c r="I82" i="333"/>
  <c r="J82" i="333" s="1"/>
  <c r="I80" i="333"/>
  <c r="J80" i="333" s="1"/>
  <c r="I78" i="333"/>
  <c r="J78" i="333" s="1"/>
  <c r="K76" i="333"/>
  <c r="K75" i="333"/>
  <c r="G76" i="333"/>
  <c r="G75" i="333" s="1"/>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c r="I126" i="325"/>
  <c r="J126" i="325" s="1"/>
  <c r="I125" i="325"/>
  <c r="J125" i="325" s="1"/>
  <c r="I124" i="325"/>
  <c r="J124" i="325" s="1"/>
  <c r="I123" i="325"/>
  <c r="J123" i="325" s="1"/>
  <c r="I122" i="325"/>
  <c r="J122" i="325" s="1"/>
  <c r="I121" i="325"/>
  <c r="J121" i="325"/>
  <c r="I120" i="325"/>
  <c r="J120" i="325" s="1"/>
  <c r="I119" i="325"/>
  <c r="J119" i="325" s="1"/>
  <c r="K118" i="325"/>
  <c r="K117" i="325"/>
  <c r="H118" i="325"/>
  <c r="G118" i="325"/>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c r="I30" i="325"/>
  <c r="J30" i="325"/>
  <c r="I29" i="325"/>
  <c r="J29" i="325"/>
  <c r="I28" i="325"/>
  <c r="J28" i="325"/>
  <c r="K27" i="325"/>
  <c r="H27" i="325"/>
  <c r="I27" i="325" s="1"/>
  <c r="J27" i="325" s="1"/>
  <c r="G27" i="325"/>
  <c r="F27" i="325"/>
  <c r="E27" i="325"/>
  <c r="D27" i="325"/>
  <c r="C27" i="325"/>
  <c r="I26" i="325"/>
  <c r="J26" i="325" s="1"/>
  <c r="I25" i="325"/>
  <c r="J25" i="325"/>
  <c r="I24" i="325"/>
  <c r="J24" i="325" s="1"/>
  <c r="I23" i="325"/>
  <c r="J23" i="325" s="1"/>
  <c r="I22" i="325"/>
  <c r="J22" i="325" s="1"/>
  <c r="I21" i="325"/>
  <c r="J21" i="325" s="1"/>
  <c r="I20" i="325"/>
  <c r="J20" i="325" s="1"/>
  <c r="I19" i="325"/>
  <c r="J19" i="325" s="1"/>
  <c r="I18" i="325"/>
  <c r="J18" i="325" s="1"/>
  <c r="K17" i="325"/>
  <c r="H17" i="325"/>
  <c r="G17" i="325"/>
  <c r="G7" i="325" s="1"/>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c r="K45" i="326"/>
  <c r="K7" i="326"/>
  <c r="K166" i="326"/>
  <c r="H45" i="326"/>
  <c r="I45" i="326" s="1"/>
  <c r="J45" i="326" s="1"/>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G160" i="242"/>
  <c r="F160" i="242"/>
  <c r="E160" i="242"/>
  <c r="D160" i="242"/>
  <c r="C160" i="242"/>
  <c r="K140" i="242"/>
  <c r="K138" i="242"/>
  <c r="G140" i="242"/>
  <c r="F140" i="242"/>
  <c r="F138" i="242"/>
  <c r="E140" i="242"/>
  <c r="E138" i="242"/>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F117" i="242" s="1"/>
  <c r="E130" i="242"/>
  <c r="D130" i="242"/>
  <c r="K118" i="242"/>
  <c r="K117" i="242"/>
  <c r="H118" i="242"/>
  <c r="G118" i="242"/>
  <c r="F118" i="242"/>
  <c r="E118" i="242"/>
  <c r="D118" i="242"/>
  <c r="D117" i="242"/>
  <c r="C118" i="242"/>
  <c r="I122" i="242"/>
  <c r="J122" i="242" s="1"/>
  <c r="I121" i="242"/>
  <c r="J121" i="242"/>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E76" i="242"/>
  <c r="D76" i="242"/>
  <c r="C99" i="242"/>
  <c r="C76" i="242"/>
  <c r="I87" i="242"/>
  <c r="J87" i="242" s="1"/>
  <c r="I86" i="242"/>
  <c r="J86" i="242" s="1"/>
  <c r="I83" i="242"/>
  <c r="J83" i="242"/>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K7" i="242" s="1"/>
  <c r="K166" i="242" s="1"/>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c r="I42" i="242"/>
  <c r="J42" i="242" s="1"/>
  <c r="I40" i="242"/>
  <c r="J40" i="242" s="1"/>
  <c r="I44" i="242"/>
  <c r="J44" i="242" s="1"/>
  <c r="I43" i="242"/>
  <c r="J43" i="242" s="1"/>
  <c r="I39" i="242"/>
  <c r="J39" i="242"/>
  <c r="K38" i="242"/>
  <c r="H38" i="242"/>
  <c r="G38" i="242"/>
  <c r="F38" i="242"/>
  <c r="E38" i="242"/>
  <c r="D38" i="242"/>
  <c r="C38" i="242"/>
  <c r="I36" i="242"/>
  <c r="J36" i="242" s="1"/>
  <c r="I35" i="242"/>
  <c r="J35" i="242"/>
  <c r="I34" i="242"/>
  <c r="J34" i="242" s="1"/>
  <c r="I33" i="242"/>
  <c r="J33" i="242" s="1"/>
  <c r="I32" i="242"/>
  <c r="J32" i="242"/>
  <c r="I31" i="242"/>
  <c r="J31" i="242" s="1"/>
  <c r="I30" i="242"/>
  <c r="J30" i="242" s="1"/>
  <c r="I29" i="242"/>
  <c r="J29" i="242"/>
  <c r="C17" i="242"/>
  <c r="I26" i="242"/>
  <c r="J26" i="242" s="1"/>
  <c r="I25" i="242"/>
  <c r="J25" i="242"/>
  <c r="C8" i="242"/>
  <c r="I10" i="242"/>
  <c r="J10" i="242"/>
  <c r="I9" i="242"/>
  <c r="J9" i="242" s="1"/>
  <c r="I243" i="330"/>
  <c r="J243" i="330" s="1"/>
  <c r="A243" i="330"/>
  <c r="A239" i="330"/>
  <c r="K235" i="330"/>
  <c r="K47" i="241"/>
  <c r="G235" i="330"/>
  <c r="G47" i="241" s="1"/>
  <c r="F235" i="330"/>
  <c r="F47" i="241" s="1"/>
  <c r="E235" i="330"/>
  <c r="E47" i="24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c r="H186" i="330"/>
  <c r="G186" i="330"/>
  <c r="I186" i="330" s="1"/>
  <c r="J186" i="330" s="1"/>
  <c r="F186" i="330"/>
  <c r="F37" i="241" s="1"/>
  <c r="E186" i="330"/>
  <c r="E37" i="241"/>
  <c r="D186" i="330"/>
  <c r="D37" i="241"/>
  <c r="C186" i="330"/>
  <c r="C37" i="241"/>
  <c r="I188" i="330"/>
  <c r="J188" i="330" s="1"/>
  <c r="I187" i="330"/>
  <c r="J187" i="330" s="1"/>
  <c r="A176" i="330"/>
  <c r="A175" i="330"/>
  <c r="A174" i="330"/>
  <c r="K171" i="330"/>
  <c r="K35" i="241"/>
  <c r="G171" i="330"/>
  <c r="G35" i="241"/>
  <c r="F171" i="330"/>
  <c r="F35" i="241" s="1"/>
  <c r="E171" i="330"/>
  <c r="E35" i="24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K31" i="241"/>
  <c r="G132" i="330"/>
  <c r="G31" i="241"/>
  <c r="F132" i="330"/>
  <c r="E132" i="330"/>
  <c r="D132" i="330"/>
  <c r="D31" i="241"/>
  <c r="K27" i="330"/>
  <c r="H27" i="330"/>
  <c r="H11" i="241" s="1"/>
  <c r="G27" i="330"/>
  <c r="G11" i="241" s="1"/>
  <c r="F27" i="330"/>
  <c r="F11" i="241"/>
  <c r="E27" i="330"/>
  <c r="E11" i="241"/>
  <c r="D27" i="330"/>
  <c r="C27" i="330"/>
  <c r="C11" i="241"/>
  <c r="K10" i="330"/>
  <c r="K6" i="330"/>
  <c r="G10" i="330"/>
  <c r="G8" i="241"/>
  <c r="G6" i="241" s="1"/>
  <c r="F10" i="330"/>
  <c r="F6" i="330" s="1"/>
  <c r="E10" i="330"/>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c r="F146" i="330"/>
  <c r="F32" i="241" s="1"/>
  <c r="G146" i="330"/>
  <c r="H146" i="330"/>
  <c r="K146" i="330"/>
  <c r="K32" i="241"/>
  <c r="I147" i="330"/>
  <c r="J147" i="330" s="1"/>
  <c r="A148" i="330"/>
  <c r="A149" i="330"/>
  <c r="C149" i="330"/>
  <c r="C34" i="241"/>
  <c r="D149" i="330"/>
  <c r="D34" i="241"/>
  <c r="E149" i="330"/>
  <c r="E34" i="241"/>
  <c r="E33" i="241"/>
  <c r="F149" i="330"/>
  <c r="F34" i="241" s="1"/>
  <c r="G149" i="330"/>
  <c r="G34" i="241"/>
  <c r="K149" i="330"/>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5" i="330"/>
  <c r="J95" i="330"/>
  <c r="I94" i="330"/>
  <c r="J94" i="330" s="1"/>
  <c r="I96" i="330"/>
  <c r="J96" i="330" s="1"/>
  <c r="K76" i="330"/>
  <c r="K17" i="241"/>
  <c r="H76" i="330"/>
  <c r="H17" i="241" s="1"/>
  <c r="G76" i="330"/>
  <c r="G17" i="241" s="1"/>
  <c r="F76" i="330"/>
  <c r="F17" i="241" s="1"/>
  <c r="E76" i="330"/>
  <c r="E17" i="241"/>
  <c r="D17" i="241"/>
  <c r="C76" i="330"/>
  <c r="C17" i="241"/>
  <c r="I77" i="330"/>
  <c r="J77" i="330" s="1"/>
  <c r="I81" i="330"/>
  <c r="J81" i="330" s="1"/>
  <c r="I80" i="330"/>
  <c r="J80" i="330" s="1"/>
  <c r="I79" i="330"/>
  <c r="J79" i="330" s="1"/>
  <c r="I78" i="330"/>
  <c r="J78" i="330" s="1"/>
  <c r="I83" i="330"/>
  <c r="J83" i="330" s="1"/>
  <c r="I82" i="330"/>
  <c r="J82" i="330" s="1"/>
  <c r="K67" i="330"/>
  <c r="K15" i="241"/>
  <c r="H67" i="330"/>
  <c r="H15" i="241"/>
  <c r="G67" i="330"/>
  <c r="F67" i="330"/>
  <c r="F15" i="241"/>
  <c r="E67" i="330"/>
  <c r="E15" i="241"/>
  <c r="D67" i="330"/>
  <c r="C67" i="330"/>
  <c r="C15" i="241"/>
  <c r="H64" i="330"/>
  <c r="H14" i="241" s="1"/>
  <c r="G64" i="330"/>
  <c r="G14" i="241" s="1"/>
  <c r="F64" i="330"/>
  <c r="F14" i="241" s="1"/>
  <c r="E64" i="330"/>
  <c r="E14" i="241"/>
  <c r="D64" i="330"/>
  <c r="D14" i="241"/>
  <c r="K64" i="330"/>
  <c r="K14" i="241"/>
  <c r="C64" i="330"/>
  <c r="C14" i="241"/>
  <c r="I69" i="330"/>
  <c r="J69" i="330"/>
  <c r="I68" i="330"/>
  <c r="J68" i="330"/>
  <c r="I71" i="330"/>
  <c r="J71" i="330"/>
  <c r="I70" i="330"/>
  <c r="J70" i="330"/>
  <c r="I66" i="330"/>
  <c r="J66" i="330" s="1"/>
  <c r="I65" i="330"/>
  <c r="J65" i="330" s="1"/>
  <c r="K49" i="330"/>
  <c r="K12" i="241"/>
  <c r="G49" i="330"/>
  <c r="F49" i="330"/>
  <c r="F12" i="241" s="1"/>
  <c r="E49" i="330"/>
  <c r="E12" i="241"/>
  <c r="D49" i="330"/>
  <c r="D12" i="241"/>
  <c r="C49" i="330"/>
  <c r="C12" i="241"/>
  <c r="I54" i="330"/>
  <c r="J54" i="330" s="1"/>
  <c r="I52" i="330"/>
  <c r="J52" i="330" s="1"/>
  <c r="I51" i="330"/>
  <c r="J51" i="330" s="1"/>
  <c r="I50" i="330"/>
  <c r="J50" i="330" s="1"/>
  <c r="C55" i="330"/>
  <c r="C13" i="241"/>
  <c r="D55" i="330"/>
  <c r="D13" i="241"/>
  <c r="E55" i="330"/>
  <c r="E13" i="24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21" i="175" s="1"/>
  <c r="L9" i="175"/>
  <c r="L10" i="175"/>
  <c r="L13" i="175"/>
  <c r="K15" i="175"/>
  <c r="L15" i="175"/>
  <c r="L12" i="175"/>
  <c r="L11" i="175"/>
  <c r="L8" i="175"/>
  <c r="L7" i="175"/>
  <c r="L14" i="175" s="1"/>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c r="I61" i="318"/>
  <c r="J61" i="318"/>
  <c r="I60" i="318"/>
  <c r="J60" i="318"/>
  <c r="I59" i="318"/>
  <c r="J59" i="318"/>
  <c r="I58" i="318"/>
  <c r="J58" i="318"/>
  <c r="I57" i="318"/>
  <c r="J57" i="318"/>
  <c r="I41" i="318"/>
  <c r="J41" i="318" s="1"/>
  <c r="I39" i="318"/>
  <c r="J39" i="318" s="1"/>
  <c r="I36" i="318"/>
  <c r="J36" i="318" s="1"/>
  <c r="I37" i="318"/>
  <c r="J37" i="318" s="1"/>
  <c r="I38" i="318"/>
  <c r="J38" i="318" s="1"/>
  <c r="I42" i="318"/>
  <c r="J42" i="318" s="1"/>
  <c r="I43" i="318"/>
  <c r="J43" i="318"/>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c r="K174" i="323"/>
  <c r="K24" i="272"/>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G24" i="272"/>
  <c r="I40" i="182"/>
  <c r="J40" i="182" s="1"/>
  <c r="I41" i="182"/>
  <c r="J41" i="182" s="1"/>
  <c r="I39" i="182"/>
  <c r="J39" i="182" s="1"/>
  <c r="K70" i="268"/>
  <c r="K74" i="268"/>
  <c r="K57" i="268"/>
  <c r="G57" i="268"/>
  <c r="F57" i="268"/>
  <c r="E57" i="268"/>
  <c r="D57" i="268"/>
  <c r="C57" i="268"/>
  <c r="C118" i="330"/>
  <c r="C25" i="241"/>
  <c r="H37" i="241"/>
  <c r="E31" i="241"/>
  <c r="C8" i="241"/>
  <c r="J13" i="267"/>
  <c r="J14" i="267"/>
  <c r="J15" i="267"/>
  <c r="J17" i="267"/>
  <c r="G12" i="267"/>
  <c r="G13" i="267"/>
  <c r="G14" i="267"/>
  <c r="G15" i="267"/>
  <c r="F12" i="267"/>
  <c r="F13" i="267"/>
  <c r="F14" i="267"/>
  <c r="F15" i="267"/>
  <c r="H15" i="267" s="1"/>
  <c r="I15" i="267" s="1"/>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c r="K196" i="323"/>
  <c r="K26" i="272"/>
  <c r="K207" i="323"/>
  <c r="K218" i="323"/>
  <c r="K28" i="272"/>
  <c r="K229" i="323"/>
  <c r="K29" i="272"/>
  <c r="K39" i="272"/>
  <c r="K40" i="272"/>
  <c r="K240" i="323"/>
  <c r="K251" i="323"/>
  <c r="K31" i="272"/>
  <c r="K262" i="323"/>
  <c r="K273" i="323"/>
  <c r="K284" i="323"/>
  <c r="K34" i="272"/>
  <c r="K295" i="323"/>
  <c r="K306" i="323"/>
  <c r="K36" i="272"/>
  <c r="K317" i="323"/>
  <c r="K37" i="272"/>
  <c r="K328" i="323"/>
  <c r="K38" i="272"/>
  <c r="H196" i="323"/>
  <c r="H207" i="323"/>
  <c r="H27" i="272" s="1"/>
  <c r="H218" i="323"/>
  <c r="H28" i="272"/>
  <c r="I28" i="272" s="1"/>
  <c r="J28" i="272" s="1"/>
  <c r="H229" i="323"/>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196" i="323"/>
  <c r="G207" i="323"/>
  <c r="G218" i="323"/>
  <c r="G229" i="323"/>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40" i="323"/>
  <c r="F30" i="272"/>
  <c r="F251" i="323"/>
  <c r="F31" i="272"/>
  <c r="F262" i="323"/>
  <c r="F32" i="272"/>
  <c r="F273" i="323"/>
  <c r="F284" i="323"/>
  <c r="F34" i="272"/>
  <c r="F295" i="323"/>
  <c r="F35" i="272"/>
  <c r="F306" i="323"/>
  <c r="F36" i="272"/>
  <c r="F317" i="323"/>
  <c r="F37" i="272"/>
  <c r="F328" i="323"/>
  <c r="E185" i="323"/>
  <c r="E25" i="272"/>
  <c r="E196" i="323"/>
  <c r="E26" i="272"/>
  <c r="E207" i="323"/>
  <c r="E27" i="272"/>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c r="K193" i="324"/>
  <c r="K28" i="268"/>
  <c r="K182" i="324"/>
  <c r="K27" i="268"/>
  <c r="K171" i="324"/>
  <c r="K26" i="268"/>
  <c r="K160" i="324"/>
  <c r="K25" i="268"/>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c r="D204" i="324"/>
  <c r="D29" i="268"/>
  <c r="G193" i="324"/>
  <c r="G28" i="268" s="1"/>
  <c r="H193" i="324"/>
  <c r="H28" i="268" s="1"/>
  <c r="F193" i="324"/>
  <c r="F28" i="268" s="1"/>
  <c r="E193" i="324"/>
  <c r="E28" i="268"/>
  <c r="D193" i="324"/>
  <c r="D28" i="268"/>
  <c r="G182" i="324"/>
  <c r="G27" i="268"/>
  <c r="H182" i="324"/>
  <c r="F182" i="324"/>
  <c r="F27" i="268" s="1"/>
  <c r="E182" i="324"/>
  <c r="E27" i="268"/>
  <c r="D182" i="324"/>
  <c r="D27" i="268"/>
  <c r="G171" i="324"/>
  <c r="G26" i="268" s="1"/>
  <c r="H171" i="324"/>
  <c r="H26" i="268" s="1"/>
  <c r="F171" i="324"/>
  <c r="F26" i="268" s="1"/>
  <c r="E171" i="324"/>
  <c r="E26" i="268"/>
  <c r="D171" i="324"/>
  <c r="D26" i="268"/>
  <c r="G160" i="324"/>
  <c r="G25" i="268" s="1"/>
  <c r="H160" i="324"/>
  <c r="H25" i="268" s="1"/>
  <c r="F160" i="324"/>
  <c r="F25" i="268" s="1"/>
  <c r="E160" i="324"/>
  <c r="E25" i="268"/>
  <c r="D160" i="324"/>
  <c r="D25" i="268"/>
  <c r="G149" i="324"/>
  <c r="H149" i="324"/>
  <c r="H24" i="268"/>
  <c r="F149" i="324"/>
  <c r="F24" i="268"/>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c r="K7" i="324"/>
  <c r="K6" i="268"/>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F29" i="324"/>
  <c r="F10" i="268" s="1"/>
  <c r="E29" i="324"/>
  <c r="E10" i="268"/>
  <c r="D29" i="324"/>
  <c r="D10" i="268"/>
  <c r="G23" i="324"/>
  <c r="G9" i="268"/>
  <c r="F23" i="324"/>
  <c r="F9" i="268"/>
  <c r="E23" i="324"/>
  <c r="E9" i="268"/>
  <c r="D23" i="324"/>
  <c r="D9" i="268"/>
  <c r="G18" i="324"/>
  <c r="G8" i="268" s="1"/>
  <c r="F18" i="324"/>
  <c r="F8" i="268"/>
  <c r="E18" i="324"/>
  <c r="E8" i="268"/>
  <c r="D18" i="324"/>
  <c r="D8" i="268"/>
  <c r="G12" i="324"/>
  <c r="G7" i="268" s="1"/>
  <c r="F12" i="324"/>
  <c r="F7" i="268" s="1"/>
  <c r="E12" i="324"/>
  <c r="E7" i="268"/>
  <c r="D12" i="324"/>
  <c r="D7" i="268"/>
  <c r="G7" i="324"/>
  <c r="G6" i="268"/>
  <c r="F7" i="324"/>
  <c r="F6" i="268" s="1"/>
  <c r="E7" i="324"/>
  <c r="E6" i="268"/>
  <c r="D7" i="324"/>
  <c r="D6" i="268"/>
  <c r="C19" i="268"/>
  <c r="C18" i="268"/>
  <c r="C17" i="268"/>
  <c r="C15" i="268"/>
  <c r="C14" i="268"/>
  <c r="C13" i="268"/>
  <c r="C35" i="324"/>
  <c r="C11" i="268"/>
  <c r="C29" i="324"/>
  <c r="C10" i="268"/>
  <c r="C23" i="324"/>
  <c r="C9" i="268"/>
  <c r="C18" i="324"/>
  <c r="C8" i="268"/>
  <c r="C12" i="324"/>
  <c r="C7" i="268"/>
  <c r="C7" i="324"/>
  <c r="C6" i="268"/>
  <c r="D70" i="268"/>
  <c r="D74" i="268"/>
  <c r="E70" i="268"/>
  <c r="E74" i="268"/>
  <c r="F70" i="268"/>
  <c r="F74" i="268" s="1"/>
  <c r="G70" i="268"/>
  <c r="I70" i="268" s="1"/>
  <c r="J70" i="268" s="1"/>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104" i="330"/>
  <c r="K22" i="241"/>
  <c r="K108" i="330"/>
  <c r="K23" i="241"/>
  <c r="K118" i="330"/>
  <c r="K25" i="241"/>
  <c r="K129" i="330"/>
  <c r="K177" i="330"/>
  <c r="K36" i="241"/>
  <c r="K33" i="241"/>
  <c r="K49" i="241"/>
  <c r="K50" i="241"/>
  <c r="K189" i="330"/>
  <c r="K38" i="241"/>
  <c r="K198" i="330"/>
  <c r="K40" i="241"/>
  <c r="K209" i="330"/>
  <c r="K41" i="241"/>
  <c r="K214" i="330"/>
  <c r="K42" i="241"/>
  <c r="K222" i="330"/>
  <c r="K44" i="241"/>
  <c r="K226" i="330"/>
  <c r="K45" i="241"/>
  <c r="K230" i="330"/>
  <c r="K46" i="241"/>
  <c r="K240" i="330"/>
  <c r="K48" i="241"/>
  <c r="H7" i="330"/>
  <c r="H7" i="241" s="1"/>
  <c r="H24" i="330"/>
  <c r="H9" i="241"/>
  <c r="H92" i="330"/>
  <c r="H19" i="241" s="1"/>
  <c r="H100" i="330"/>
  <c r="H21" i="241" s="1"/>
  <c r="H129" i="330"/>
  <c r="H189" i="330"/>
  <c r="H38" i="241" s="1"/>
  <c r="H209" i="330"/>
  <c r="H226" i="330"/>
  <c r="H45" i="241"/>
  <c r="G7" i="330"/>
  <c r="G7" i="241"/>
  <c r="G24" i="330"/>
  <c r="G87" i="330"/>
  <c r="G18" i="241" s="1"/>
  <c r="G92" i="330"/>
  <c r="G100" i="330"/>
  <c r="G21" i="241" s="1"/>
  <c r="G104" i="330"/>
  <c r="G22" i="241"/>
  <c r="G108" i="330"/>
  <c r="G99" i="330" s="1"/>
  <c r="G118" i="330"/>
  <c r="G25" i="241" s="1"/>
  <c r="G129" i="330"/>
  <c r="G30" i="241" s="1"/>
  <c r="G177" i="330"/>
  <c r="G36" i="241" s="1"/>
  <c r="G189" i="330"/>
  <c r="G38" i="241"/>
  <c r="G198" i="330"/>
  <c r="G40" i="241" s="1"/>
  <c r="G209" i="330"/>
  <c r="G41" i="241" s="1"/>
  <c r="G214" i="330"/>
  <c r="G42" i="241" s="1"/>
  <c r="G222" i="330"/>
  <c r="G44" i="241" s="1"/>
  <c r="G226" i="330"/>
  <c r="G230" i="330"/>
  <c r="G46" i="241"/>
  <c r="G240" i="330"/>
  <c r="F7" i="330"/>
  <c r="F7" i="241"/>
  <c r="F24" i="330"/>
  <c r="F87" i="330"/>
  <c r="F18" i="241" s="1"/>
  <c r="F92" i="330"/>
  <c r="F19" i="241"/>
  <c r="F100" i="330"/>
  <c r="F104" i="330"/>
  <c r="F108" i="330"/>
  <c r="F23" i="241" s="1"/>
  <c r="F118" i="330"/>
  <c r="F25" i="241" s="1"/>
  <c r="F129" i="330"/>
  <c r="F30" i="241" s="1"/>
  <c r="F177" i="330"/>
  <c r="F36" i="241"/>
  <c r="F189" i="330"/>
  <c r="F38" i="241" s="1"/>
  <c r="F198" i="330"/>
  <c r="F40" i="241" s="1"/>
  <c r="F209" i="330"/>
  <c r="F41" i="241"/>
  <c r="F214" i="330"/>
  <c r="F42" i="241" s="1"/>
  <c r="F222" i="330"/>
  <c r="F44" i="241" s="1"/>
  <c r="F226" i="330"/>
  <c r="F45" i="241" s="1"/>
  <c r="F230" i="330"/>
  <c r="F46" i="241" s="1"/>
  <c r="F240" i="330"/>
  <c r="F48" i="241" s="1"/>
  <c r="E7" i="330"/>
  <c r="E7" i="241"/>
  <c r="E24" i="330"/>
  <c r="E9" i="241"/>
  <c r="E87" i="330"/>
  <c r="E18" i="241"/>
  <c r="E92" i="330"/>
  <c r="E19" i="241"/>
  <c r="E100" i="330"/>
  <c r="E21" i="241"/>
  <c r="E104" i="330"/>
  <c r="E108" i="330"/>
  <c r="E23" i="241"/>
  <c r="E118" i="330"/>
  <c r="E25" i="241"/>
  <c r="E129" i="330"/>
  <c r="E30" i="241"/>
  <c r="E177" i="330"/>
  <c r="E36" i="241"/>
  <c r="E189" i="330"/>
  <c r="E38" i="241"/>
  <c r="E198" i="330"/>
  <c r="E40" i="241"/>
  <c r="E209" i="330"/>
  <c r="E41" i="241"/>
  <c r="E214" i="330"/>
  <c r="E42" i="241"/>
  <c r="E222" i="330"/>
  <c r="E44" i="241"/>
  <c r="E226" i="330"/>
  <c r="E45" i="241"/>
  <c r="E230" i="330"/>
  <c r="E46" i="241"/>
  <c r="E240" i="330"/>
  <c r="E48" i="241"/>
  <c r="D7" i="330"/>
  <c r="D7" i="241"/>
  <c r="D24" i="330"/>
  <c r="D9" i="241"/>
  <c r="D87" i="330"/>
  <c r="D18" i="241"/>
  <c r="D92" i="330"/>
  <c r="D19" i="241"/>
  <c r="D100" i="330"/>
  <c r="D104" i="330"/>
  <c r="D22" i="241"/>
  <c r="D108" i="330"/>
  <c r="D23" i="241"/>
  <c r="D118" i="330"/>
  <c r="D25" i="241"/>
  <c r="D129" i="330"/>
  <c r="D32" i="241"/>
  <c r="D177" i="330"/>
  <c r="D148" i="330"/>
  <c r="D247" i="330"/>
  <c r="D189" i="330"/>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37" i="177"/>
  <c r="I37" i="177" s="1"/>
  <c r="J37" i="177" s="1"/>
  <c r="F37" i="177"/>
  <c r="E45" i="267"/>
  <c r="E37" i="177"/>
  <c r="D45" i="267"/>
  <c r="D37" i="177"/>
  <c r="C45" i="267"/>
  <c r="C37" i="177"/>
  <c r="B45" i="267"/>
  <c r="K28" i="177"/>
  <c r="J44" i="267"/>
  <c r="H28" i="177"/>
  <c r="G44" i="267" s="1"/>
  <c r="G28" i="177"/>
  <c r="G39" i="177" s="1"/>
  <c r="G41" i="177" s="1"/>
  <c r="F46" i="267" s="1"/>
  <c r="F28" i="177"/>
  <c r="E44" i="267"/>
  <c r="E28" i="177"/>
  <c r="D44" i="267"/>
  <c r="C28" i="177"/>
  <c r="B44" i="267"/>
  <c r="K18" i="177"/>
  <c r="J43" i="267"/>
  <c r="G18" i="177"/>
  <c r="F43" i="267"/>
  <c r="F18" i="177"/>
  <c r="E43" i="267" s="1"/>
  <c r="E18" i="177"/>
  <c r="D43" i="267"/>
  <c r="E77" i="100"/>
  <c r="E46" i="267"/>
  <c r="G48" i="178"/>
  <c r="J40" i="267"/>
  <c r="G40" i="178"/>
  <c r="J39" i="267"/>
  <c r="G35" i="178"/>
  <c r="H53" i="174"/>
  <c r="G13" i="178"/>
  <c r="E48" i="178"/>
  <c r="D40" i="267"/>
  <c r="D48" i="178"/>
  <c r="C40" i="267"/>
  <c r="E40" i="178"/>
  <c r="D39" i="267"/>
  <c r="D40" i="178"/>
  <c r="C39" i="267"/>
  <c r="E35" i="178"/>
  <c r="D38" i="267"/>
  <c r="D35" i="178"/>
  <c r="C38" i="267"/>
  <c r="D37" i="267"/>
  <c r="E13" i="178"/>
  <c r="D36" i="267"/>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F36" i="182"/>
  <c r="E36" i="182"/>
  <c r="D36" i="182"/>
  <c r="C18" i="267"/>
  <c r="C36" i="182"/>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E38" i="182"/>
  <c r="E42" i="182"/>
  <c r="E44" i="182"/>
  <c r="E46" i="182"/>
  <c r="E48" i="182"/>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K10" i="173"/>
  <c r="F104" i="172" s="1"/>
  <c r="K11" i="173"/>
  <c r="G104" i="172" s="1"/>
  <c r="K12" i="173"/>
  <c r="H104" i="172" s="1"/>
  <c r="K13" i="173"/>
  <c r="I104" i="172" s="1"/>
  <c r="K14" i="173"/>
  <c r="J104" i="172" s="1"/>
  <c r="G45" i="267"/>
  <c r="C14" i="175"/>
  <c r="B50" i="267"/>
  <c r="D14" i="175"/>
  <c r="C53" i="172"/>
  <c r="E14" i="175"/>
  <c r="D50" i="267"/>
  <c r="F14" i="175"/>
  <c r="E50" i="267" s="1"/>
  <c r="G14" i="175"/>
  <c r="F53" i="172" s="1"/>
  <c r="H14" i="175"/>
  <c r="I14" i="175"/>
  <c r="H53" i="172" s="1"/>
  <c r="J14" i="175"/>
  <c r="I53" i="172"/>
  <c r="K40" i="177"/>
  <c r="K41" i="177" s="1"/>
  <c r="J46" i="267" s="1"/>
  <c r="B29" i="267"/>
  <c r="D29" i="267"/>
  <c r="D33" i="267"/>
  <c r="C6" i="323"/>
  <c r="C17" i="323"/>
  <c r="C7" i="272"/>
  <c r="C28" i="323"/>
  <c r="C8" i="272"/>
  <c r="C39" i="323"/>
  <c r="C9" i="272"/>
  <c r="C50" i="323"/>
  <c r="C10" i="272"/>
  <c r="C61" i="323"/>
  <c r="C11" i="272"/>
  <c r="C72" i="323"/>
  <c r="C83" i="323"/>
  <c r="C13" i="272"/>
  <c r="C94" i="323"/>
  <c r="C14" i="272"/>
  <c r="C105" i="323"/>
  <c r="C15" i="272"/>
  <c r="H6" i="323"/>
  <c r="I6" i="323" s="1"/>
  <c r="J6" i="323" s="1"/>
  <c r="H28" i="323"/>
  <c r="H8" i="272" s="1"/>
  <c r="H39" i="323"/>
  <c r="H9" i="272" s="1"/>
  <c r="I9" i="272" s="1"/>
  <c r="J9" i="272" s="1"/>
  <c r="H50" i="323"/>
  <c r="H10" i="272" s="1"/>
  <c r="H61" i="323"/>
  <c r="H11" i="272" s="1"/>
  <c r="H72" i="323"/>
  <c r="H12" i="272"/>
  <c r="H83" i="323"/>
  <c r="H13" i="272"/>
  <c r="H94" i="323"/>
  <c r="I94" i="323"/>
  <c r="J94" i="323"/>
  <c r="G6" i="323"/>
  <c r="G17" i="323"/>
  <c r="G7" i="272" s="1"/>
  <c r="G28" i="323"/>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17" i="323"/>
  <c r="E28" i="323"/>
  <c r="E8" i="272"/>
  <c r="E39" i="323"/>
  <c r="E9" i="272"/>
  <c r="E50" i="323"/>
  <c r="E10" i="272"/>
  <c r="E61" i="323"/>
  <c r="E11" i="272"/>
  <c r="E72" i="323"/>
  <c r="E83" i="323"/>
  <c r="E13" i="272"/>
  <c r="E94" i="323"/>
  <c r="E14" i="272"/>
  <c r="F6" i="323"/>
  <c r="F17" i="323"/>
  <c r="F7" i="272" s="1"/>
  <c r="F28" i="323"/>
  <c r="F8" i="272" s="1"/>
  <c r="F39" i="323"/>
  <c r="F9" i="272"/>
  <c r="F50" i="323"/>
  <c r="F10" i="272"/>
  <c r="F61" i="323"/>
  <c r="F11" i="272" s="1"/>
  <c r="F72" i="323"/>
  <c r="F12" i="272"/>
  <c r="F83" i="323"/>
  <c r="F13" i="272"/>
  <c r="F94" i="323"/>
  <c r="F14" i="272"/>
  <c r="K6" i="323"/>
  <c r="K6" i="272"/>
  <c r="K17" i="323"/>
  <c r="K7" i="272"/>
  <c r="K28" i="323"/>
  <c r="K8" i="272"/>
  <c r="K39" i="323"/>
  <c r="K9" i="272"/>
  <c r="K50" i="323"/>
  <c r="K10" i="272"/>
  <c r="K61" i="323"/>
  <c r="K11" i="272"/>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29" i="272"/>
  <c r="G30" i="272"/>
  <c r="I30" i="272"/>
  <c r="J30" i="272"/>
  <c r="G31" i="272"/>
  <c r="G32" i="272"/>
  <c r="I32" i="272"/>
  <c r="J32" i="272"/>
  <c r="H32" i="272"/>
  <c r="K27" i="272"/>
  <c r="K30" i="272"/>
  <c r="K32" i="272"/>
  <c r="F29"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c r="I186" i="324"/>
  <c r="J186" i="324" s="1"/>
  <c r="I185" i="324"/>
  <c r="J185" i="324" s="1"/>
  <c r="I184" i="324"/>
  <c r="J184" i="324"/>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63" i="268"/>
  <c r="K47" i="268"/>
  <c r="K53" i="268"/>
  <c r="G43" i="268"/>
  <c r="G47" i="268"/>
  <c r="I47" i="268" s="1"/>
  <c r="J47" i="268" s="1"/>
  <c r="G53" i="268"/>
  <c r="F43" i="268"/>
  <c r="F47" i="268"/>
  <c r="F53" i="268"/>
  <c r="E43" i="268"/>
  <c r="E47" i="268"/>
  <c r="E63"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G14" i="174" s="1"/>
  <c r="F13" i="178"/>
  <c r="G52" i="174" s="1"/>
  <c r="F48" i="178"/>
  <c r="G49" i="174" s="1"/>
  <c r="F37" i="267"/>
  <c r="E26" i="178"/>
  <c r="C26" i="178"/>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E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F12" i="180"/>
  <c r="B34" i="172" s="1"/>
  <c r="F11" i="180"/>
  <c r="I11" i="180" s="1"/>
  <c r="F10" i="180"/>
  <c r="F9" i="180"/>
  <c r="I9" i="180" s="1"/>
  <c r="F8" i="180"/>
  <c r="B30" i="172" s="1"/>
  <c r="F7" i="180"/>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c r="B78" i="172" s="1"/>
  <c r="I54" i="172"/>
  <c r="H54" i="172"/>
  <c r="G54" i="172"/>
  <c r="F54" i="172"/>
  <c r="E54" i="172"/>
  <c r="D54" i="172"/>
  <c r="C54" i="172"/>
  <c r="B54" i="172"/>
  <c r="D53" i="172"/>
  <c r="B53" i="172"/>
  <c r="B15" i="251"/>
  <c r="B10" i="251"/>
  <c r="B5" i="251"/>
  <c r="A41" i="251"/>
  <c r="B2" i="251"/>
  <c r="A2" i="251"/>
  <c r="E93" i="100"/>
  <c r="A5" i="181"/>
  <c r="G36" i="181"/>
  <c r="I43" i="181"/>
  <c r="J43" i="18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c r="I20" i="181"/>
  <c r="J20" i="181" s="1"/>
  <c r="I19" i="181"/>
  <c r="J19" i="181" s="1"/>
  <c r="I18" i="181"/>
  <c r="J18" i="181" s="1"/>
  <c r="I17" i="181"/>
  <c r="J17" i="181" s="1"/>
  <c r="I15" i="181"/>
  <c r="J15" i="181"/>
  <c r="I13" i="181"/>
  <c r="J13" i="181" s="1"/>
  <c r="I9" i="181"/>
  <c r="J9" i="181" s="1"/>
  <c r="I8" i="181"/>
  <c r="J8" i="181" s="1"/>
  <c r="I7" i="181"/>
  <c r="J7" i="181" s="1"/>
  <c r="I6" i="181"/>
  <c r="J6" i="181" s="1"/>
  <c r="K36" i="181"/>
  <c r="K38" i="181"/>
  <c r="K42" i="181"/>
  <c r="K44" i="181"/>
  <c r="F36" i="181"/>
  <c r="E36" i="181"/>
  <c r="E38" i="181"/>
  <c r="E42" i="18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c r="I131" i="242"/>
  <c r="J131" i="242" s="1"/>
  <c r="I129" i="242"/>
  <c r="J129" i="242"/>
  <c r="I128" i="242"/>
  <c r="J128" i="242"/>
  <c r="I127" i="242"/>
  <c r="J127" i="242"/>
  <c r="I126" i="242"/>
  <c r="J126" i="242"/>
  <c r="I125" i="242"/>
  <c r="J125" i="242"/>
  <c r="I124" i="242"/>
  <c r="J124" i="242"/>
  <c r="I123" i="242"/>
  <c r="J123" i="242"/>
  <c r="I119" i="242"/>
  <c r="J119" i="242" s="1"/>
  <c r="I102" i="242"/>
  <c r="J102" i="242" s="1"/>
  <c r="I100" i="242"/>
  <c r="J100" i="242"/>
  <c r="I98" i="242"/>
  <c r="J98" i="242" s="1"/>
  <c r="I97" i="242"/>
  <c r="J97" i="242" s="1"/>
  <c r="I95" i="242"/>
  <c r="J95" i="242"/>
  <c r="I94" i="242"/>
  <c r="J94" i="242" s="1"/>
  <c r="I93" i="242"/>
  <c r="J93" i="242" s="1"/>
  <c r="I91" i="242"/>
  <c r="J91" i="242"/>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c r="E42" i="174"/>
  <c r="E44" i="174"/>
  <c r="H40" i="174"/>
  <c r="G40" i="174"/>
  <c r="F40" i="174"/>
  <c r="F26" i="174"/>
  <c r="E40" i="174"/>
  <c r="D42" i="174"/>
  <c r="D44" i="174"/>
  <c r="D27" i="174"/>
  <c r="D40" i="174"/>
  <c r="D26" i="174"/>
  <c r="H63" i="174"/>
  <c r="H18" i="174"/>
  <c r="G63" i="174"/>
  <c r="G18" i="174" s="1"/>
  <c r="F63" i="174"/>
  <c r="F18" i="174"/>
  <c r="E63" i="174"/>
  <c r="E18" i="174"/>
  <c r="H59" i="174"/>
  <c r="G59" i="174"/>
  <c r="F59" i="174"/>
  <c r="E59" i="174"/>
  <c r="D63" i="174"/>
  <c r="D18" i="174"/>
  <c r="D59" i="174"/>
  <c r="D17" i="174"/>
  <c r="F53" i="174"/>
  <c r="F13" i="174"/>
  <c r="E53" i="174"/>
  <c r="D53" i="174"/>
  <c r="D14" i="174"/>
  <c r="F52" i="174"/>
  <c r="D52" i="174"/>
  <c r="H51" i="174"/>
  <c r="H50" i="174"/>
  <c r="G51" i="174"/>
  <c r="G50" i="174"/>
  <c r="F51" i="174"/>
  <c r="F11" i="174"/>
  <c r="F50" i="174"/>
  <c r="E51" i="174"/>
  <c r="E50" i="174"/>
  <c r="D51" i="174"/>
  <c r="D11" i="174"/>
  <c r="D50" i="174"/>
  <c r="H48" i="174"/>
  <c r="H49"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H26" i="175" s="1"/>
  <c r="H27" i="175" s="1"/>
  <c r="G21" i="175"/>
  <c r="G26" i="175" s="1"/>
  <c r="G27" i="175" s="1"/>
  <c r="F21" i="175"/>
  <c r="E21" i="175"/>
  <c r="E26" i="175"/>
  <c r="E27" i="175" s="1"/>
  <c r="D21" i="175"/>
  <c r="D26" i="175" s="1"/>
  <c r="D27" i="175" s="1"/>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E61" i="270"/>
  <c r="D57" i="270"/>
  <c r="K36" i="270"/>
  <c r="G36" i="270"/>
  <c r="G61" i="270" s="1"/>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F62" i="269" s="1"/>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I30" i="318" s="1"/>
  <c r="J30" i="318" s="1"/>
  <c r="H83" i="318"/>
  <c r="G30" i="318"/>
  <c r="G46" i="318"/>
  <c r="G49" i="318" s="1"/>
  <c r="G83" i="318"/>
  <c r="G99" i="318"/>
  <c r="F30" i="318"/>
  <c r="F49" i="318" s="1"/>
  <c r="F46" i="318"/>
  <c r="F83" i="318"/>
  <c r="F99" i="318"/>
  <c r="G14" i="318"/>
  <c r="G67" i="318"/>
  <c r="H67" i="318"/>
  <c r="K14" i="318"/>
  <c r="K15" i="318"/>
  <c r="K30" i="318"/>
  <c r="K31" i="318"/>
  <c r="K46" i="318"/>
  <c r="K47" i="318"/>
  <c r="K67" i="318"/>
  <c r="E14" i="318"/>
  <c r="E15" i="318"/>
  <c r="E30" i="318"/>
  <c r="E46" i="318"/>
  <c r="E67" i="318"/>
  <c r="E68" i="318"/>
  <c r="E83" i="318"/>
  <c r="E84" i="318"/>
  <c r="E99" i="318"/>
  <c r="D14" i="318"/>
  <c r="D15" i="318"/>
  <c r="D30" i="318"/>
  <c r="D31" i="318"/>
  <c r="D46" i="318"/>
  <c r="D47" i="318"/>
  <c r="D67" i="318"/>
  <c r="D68" i="318"/>
  <c r="D83" i="318"/>
  <c r="D99" i="318"/>
  <c r="D100" i="318"/>
  <c r="C83" i="318"/>
  <c r="C14" i="318"/>
  <c r="I98" i="318"/>
  <c r="J98" i="318"/>
  <c r="I97" i="318"/>
  <c r="J97" i="318" s="1"/>
  <c r="I96" i="318"/>
  <c r="J96" i="318"/>
  <c r="I95" i="318"/>
  <c r="J95" i="318"/>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c r="I65" i="318"/>
  <c r="J65" i="318"/>
  <c r="I64" i="318"/>
  <c r="J64" i="318"/>
  <c r="I62" i="318"/>
  <c r="J62" i="318"/>
  <c r="I56" i="318"/>
  <c r="J56" i="318"/>
  <c r="I55" i="318"/>
  <c r="J55" i="318"/>
  <c r="I54" i="318"/>
  <c r="J54" i="318"/>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E44" i="181"/>
  <c r="I24" i="267"/>
  <c r="I16" i="272"/>
  <c r="J16" i="272"/>
  <c r="F9" i="241"/>
  <c r="G45" i="241"/>
  <c r="I45" i="241" s="1"/>
  <c r="J45" i="241" s="1"/>
  <c r="G15" i="241"/>
  <c r="I15" i="241"/>
  <c r="J15" i="241"/>
  <c r="K21" i="241"/>
  <c r="D21"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B29" i="172"/>
  <c r="G6" i="272"/>
  <c r="D7" i="272"/>
  <c r="E39" i="177"/>
  <c r="E41" i="177"/>
  <c r="D46" i="267"/>
  <c r="A83" i="323"/>
  <c r="A127" i="323"/>
  <c r="A33" i="268"/>
  <c r="A29" i="268"/>
  <c r="A25" i="268"/>
  <c r="K7" i="241"/>
  <c r="E6" i="272"/>
  <c r="G19" i="241"/>
  <c r="B81" i="100"/>
  <c r="A31" i="268"/>
  <c r="A61" i="323"/>
  <c r="A27" i="268"/>
  <c r="A35" i="324"/>
  <c r="B4" i="100"/>
  <c r="B103" i="100"/>
  <c r="A26" i="172"/>
  <c r="F8" i="334"/>
  <c r="G9" i="334"/>
  <c r="F25" i="334"/>
  <c r="G25" i="334"/>
  <c r="F41" i="334"/>
  <c r="G45" i="334"/>
  <c r="F22" i="334"/>
  <c r="I16" i="183"/>
  <c r="J16" i="183"/>
  <c r="J37" i="267"/>
  <c r="J15" i="180"/>
  <c r="B37" i="172"/>
  <c r="H15" i="180"/>
  <c r="J13" i="180"/>
  <c r="C28" i="272"/>
  <c r="D17" i="272"/>
  <c r="I72" i="323"/>
  <c r="J72" i="323"/>
  <c r="C31" i="183"/>
  <c r="F45" i="267"/>
  <c r="H45" i="267" s="1"/>
  <c r="I45" i="267" s="1"/>
  <c r="H15" i="272"/>
  <c r="I105" i="323"/>
  <c r="J105" i="323"/>
  <c r="J29" i="267"/>
  <c r="J33" i="267"/>
  <c r="B100" i="100"/>
  <c r="K117" i="326"/>
  <c r="J130" i="326"/>
  <c r="G110" i="335"/>
  <c r="I130" i="335"/>
  <c r="J130" i="335"/>
  <c r="H110" i="333"/>
  <c r="E117" i="333"/>
  <c r="I38" i="333"/>
  <c r="J38" i="333" s="1"/>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K7" i="325"/>
  <c r="G117" i="325"/>
  <c r="I117" i="325" s="1"/>
  <c r="J117" i="325" s="1"/>
  <c r="F110" i="325"/>
  <c r="E110" i="325"/>
  <c r="D7" i="325"/>
  <c r="I63" i="325"/>
  <c r="J63" i="325"/>
  <c r="H117" i="325"/>
  <c r="I157" i="325"/>
  <c r="J157" i="325"/>
  <c r="E7" i="325"/>
  <c r="I99" i="325"/>
  <c r="J99" i="325"/>
  <c r="F110" i="326"/>
  <c r="E110" i="326"/>
  <c r="J63" i="326"/>
  <c r="G75" i="326"/>
  <c r="I135" i="326"/>
  <c r="J135" i="326"/>
  <c r="I17" i="326"/>
  <c r="J17" i="326"/>
  <c r="I69" i="326"/>
  <c r="J69" i="326"/>
  <c r="I114" i="326"/>
  <c r="J114" i="326"/>
  <c r="I154" i="326"/>
  <c r="J154" i="326" s="1"/>
  <c r="I157" i="326"/>
  <c r="J157" i="326"/>
  <c r="I27" i="326"/>
  <c r="J27" i="326"/>
  <c r="C117" i="326"/>
  <c r="G117" i="326"/>
  <c r="I117" i="326"/>
  <c r="J117" i="326"/>
  <c r="I160" i="326"/>
  <c r="J160" i="326"/>
  <c r="I99" i="326"/>
  <c r="J99" i="326"/>
  <c r="H110" i="326"/>
  <c r="D117" i="326"/>
  <c r="H117" i="326"/>
  <c r="I148" i="326"/>
  <c r="J148" i="326"/>
  <c r="I13" i="326"/>
  <c r="J13" i="326"/>
  <c r="E7" i="326"/>
  <c r="J163" i="326"/>
  <c r="F7" i="326"/>
  <c r="F166" i="326" s="1"/>
  <c r="E117" i="326"/>
  <c r="J118" i="326"/>
  <c r="I140" i="326"/>
  <c r="J140" i="326"/>
  <c r="I38" i="326"/>
  <c r="J38" i="326"/>
  <c r="E75" i="326"/>
  <c r="I103" i="326"/>
  <c r="J103" i="326" s="1"/>
  <c r="I151" i="326"/>
  <c r="J151" i="326" s="1"/>
  <c r="H138" i="326"/>
  <c r="I138" i="326"/>
  <c r="J138" i="326"/>
  <c r="I160" i="242"/>
  <c r="J160" i="242" s="1"/>
  <c r="H117" i="242"/>
  <c r="C75" i="242"/>
  <c r="H110" i="242"/>
  <c r="I110" i="242"/>
  <c r="J110" i="242" s="1"/>
  <c r="E110" i="242"/>
  <c r="I157" i="242"/>
  <c r="J157" i="242"/>
  <c r="G110" i="242"/>
  <c r="C117" i="242"/>
  <c r="I135" i="242"/>
  <c r="J135" i="242"/>
  <c r="I69" i="242"/>
  <c r="J69" i="242" s="1"/>
  <c r="K110" i="242"/>
  <c r="G117" i="242"/>
  <c r="F110" i="242"/>
  <c r="D75" i="242"/>
  <c r="E117" i="242"/>
  <c r="I130" i="242"/>
  <c r="J130" i="242"/>
  <c r="J45" i="242"/>
  <c r="I111" i="242"/>
  <c r="J111" i="242"/>
  <c r="I63" i="242"/>
  <c r="J63" i="242" s="1"/>
  <c r="E7" i="242"/>
  <c r="I118" i="242"/>
  <c r="J118" i="242" s="1"/>
  <c r="I17" i="242"/>
  <c r="J17" i="242" s="1"/>
  <c r="I99" i="242"/>
  <c r="J99" i="242"/>
  <c r="F75" i="242"/>
  <c r="G32" i="241"/>
  <c r="I24" i="330"/>
  <c r="J24" i="330"/>
  <c r="K34" i="241"/>
  <c r="K30" i="241"/>
  <c r="C7" i="241"/>
  <c r="C6" i="241"/>
  <c r="C26" i="241"/>
  <c r="I67" i="330"/>
  <c r="J67" i="330"/>
  <c r="I100" i="330"/>
  <c r="J100" i="330" s="1"/>
  <c r="I92" i="330"/>
  <c r="J92" i="330" s="1"/>
  <c r="I64" i="330"/>
  <c r="J64" i="330" s="1"/>
  <c r="G12" i="241"/>
  <c r="D197" i="330"/>
  <c r="D11" i="241"/>
  <c r="I189" i="330"/>
  <c r="J189" i="330" s="1"/>
  <c r="C21" i="241"/>
  <c r="E221" i="330"/>
  <c r="E128" i="330"/>
  <c r="I226" i="330"/>
  <c r="J226" i="330" s="1"/>
  <c r="F22" i="241"/>
  <c r="G9" i="241"/>
  <c r="I9" i="241"/>
  <c r="J9" i="241"/>
  <c r="E26" i="330"/>
  <c r="E75" i="330"/>
  <c r="E6" i="330"/>
  <c r="E8" i="241"/>
  <c r="D6" i="330"/>
  <c r="C53" i="182"/>
  <c r="K53" i="182"/>
  <c r="H55" i="174"/>
  <c r="H27" i="174"/>
  <c r="D28" i="174"/>
  <c r="D11" i="267"/>
  <c r="I53" i="242"/>
  <c r="J53" i="242"/>
  <c r="I114" i="242"/>
  <c r="J114" i="242" s="1"/>
  <c r="D36" i="241"/>
  <c r="G7" i="335"/>
  <c r="I53" i="325"/>
  <c r="J53" i="325"/>
  <c r="F7" i="242"/>
  <c r="C221" i="330"/>
  <c r="C197" i="330"/>
  <c r="C128" i="330"/>
  <c r="C99" i="330"/>
  <c r="C75" i="330"/>
  <c r="C125" i="330"/>
  <c r="C10" i="241"/>
  <c r="F106" i="318"/>
  <c r="F102" i="318"/>
  <c r="H12" i="180"/>
  <c r="D39" i="174"/>
  <c r="O52" i="317"/>
  <c r="O54" i="317"/>
  <c r="O56" i="317"/>
  <c r="P55" i="317"/>
  <c r="P56" i="317"/>
  <c r="Q55" i="317"/>
  <c r="Q56" i="317"/>
  <c r="D31" i="183"/>
  <c r="E7" i="272"/>
  <c r="E29" i="267"/>
  <c r="H10" i="180"/>
  <c r="B32" i="172"/>
  <c r="J10" i="180"/>
  <c r="G8" i="334"/>
  <c r="C49" i="318"/>
  <c r="C104" i="318"/>
  <c r="I10" i="180"/>
  <c r="G65" i="317"/>
  <c r="G52" i="317"/>
  <c r="J14" i="180"/>
  <c r="B36" i="172"/>
  <c r="I14" i="180"/>
  <c r="F38" i="334"/>
  <c r="G38" i="334"/>
  <c r="G39" i="334"/>
  <c r="H9" i="180"/>
  <c r="C6" i="272"/>
  <c r="C36" i="267"/>
  <c r="E52" i="174"/>
  <c r="E49" i="174"/>
  <c r="E10" i="174"/>
  <c r="G48" i="241"/>
  <c r="G25" i="272"/>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F10" i="174"/>
  <c r="H14" i="272"/>
  <c r="H9" i="267"/>
  <c r="I9" i="267" s="1"/>
  <c r="D45" i="174"/>
  <c r="D7" i="174"/>
  <c r="B18" i="267"/>
  <c r="B19" i="267"/>
  <c r="J36" i="267"/>
  <c r="H52" i="174"/>
  <c r="F39" i="177"/>
  <c r="E99" i="330"/>
  <c r="E125" i="330"/>
  <c r="E22" i="241"/>
  <c r="E20" i="241"/>
  <c r="K11" i="241"/>
  <c r="G37" i="241"/>
  <c r="I37" i="241" s="1"/>
  <c r="J37" i="241" s="1"/>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s="1"/>
  <c r="D221" i="330"/>
  <c r="I13" i="242"/>
  <c r="J13" i="242" s="1"/>
  <c r="B3" i="100"/>
  <c r="A39" i="323"/>
  <c r="B98" i="100"/>
  <c r="A149" i="324"/>
  <c r="A28" i="268"/>
  <c r="A13" i="268"/>
  <c r="A6" i="268"/>
  <c r="A7" i="324"/>
  <c r="A32" i="272"/>
  <c r="A9" i="272"/>
  <c r="A138" i="323"/>
  <c r="A50" i="323"/>
  <c r="B77" i="100"/>
  <c r="B93" i="100"/>
  <c r="E31" i="183"/>
  <c r="C63" i="268"/>
  <c r="C29" i="267"/>
  <c r="C33" i="267"/>
  <c r="D18" i="267"/>
  <c r="D19" i="267"/>
  <c r="D20" i="267"/>
  <c r="D23" i="267"/>
  <c r="D25" i="267"/>
  <c r="E148" i="330"/>
  <c r="E247" i="330"/>
  <c r="E257" i="330"/>
  <c r="C6" i="330"/>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I75" i="326"/>
  <c r="J75" i="326"/>
  <c r="E248" i="330"/>
  <c r="E6" i="241"/>
  <c r="C29" i="241"/>
  <c r="C49" i="241"/>
  <c r="C50" i="241"/>
  <c r="E29" i="241"/>
  <c r="E16" i="241"/>
  <c r="E43" i="241"/>
  <c r="C26" i="330"/>
  <c r="C16" i="241"/>
  <c r="C148" i="330"/>
  <c r="C247" i="330"/>
  <c r="C257" i="330"/>
  <c r="C39" i="241"/>
  <c r="E39" i="241"/>
  <c r="C20" i="241"/>
  <c r="C43" i="241"/>
  <c r="C33" i="241"/>
  <c r="E10" i="241"/>
  <c r="H32" i="241"/>
  <c r="E197" i="330"/>
  <c r="D30" i="241"/>
  <c r="D29" i="241"/>
  <c r="D128" i="330"/>
  <c r="I28" i="177"/>
  <c r="J28" i="177" s="1"/>
  <c r="K39" i="177"/>
  <c r="P66" i="317"/>
  <c r="E26" i="241"/>
  <c r="K68" i="318"/>
  <c r="I67" i="318"/>
  <c r="J67" i="318"/>
  <c r="I29" i="183"/>
  <c r="I31" i="183"/>
  <c r="G31" i="183"/>
  <c r="D2" i="269"/>
  <c r="D2" i="326"/>
  <c r="I65" i="317"/>
  <c r="E256" i="330"/>
  <c r="G22" i="334"/>
  <c r="C54" i="317"/>
  <c r="C56" i="317"/>
  <c r="D55" i="317"/>
  <c r="D56" i="317"/>
  <c r="E55" i="317"/>
  <c r="L52" i="317"/>
  <c r="L54" i="317"/>
  <c r="L66" i="317"/>
  <c r="L65" i="317"/>
  <c r="B31" i="172"/>
  <c r="D2" i="270"/>
  <c r="D2" i="241"/>
  <c r="D2" i="183"/>
  <c r="D2" i="330"/>
  <c r="C2" i="317"/>
  <c r="D2" i="177"/>
  <c r="E47" i="318"/>
  <c r="F39" i="174"/>
  <c r="E43" i="178"/>
  <c r="E54" i="178"/>
  <c r="J65" i="317"/>
  <c r="G18" i="272"/>
  <c r="F17" i="174"/>
  <c r="G50" i="267"/>
  <c r="G53" i="172"/>
  <c r="H20" i="272"/>
  <c r="H41" i="241"/>
  <c r="I116" i="323"/>
  <c r="J116" i="323"/>
  <c r="A196" i="323"/>
  <c r="A8" i="268"/>
  <c r="B33" i="267"/>
  <c r="F14" i="174"/>
  <c r="A12" i="268"/>
  <c r="A240" i="323"/>
  <c r="G110" i="325"/>
  <c r="D110" i="333"/>
  <c r="E7" i="333"/>
  <c r="E166" i="333"/>
  <c r="C7" i="326"/>
  <c r="F75" i="325"/>
  <c r="I138" i="325"/>
  <c r="J138" i="325"/>
  <c r="G75" i="325"/>
  <c r="I148" i="335"/>
  <c r="J148" i="335" s="1"/>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H34" i="272"/>
  <c r="I34" i="272"/>
  <c r="J34" i="272"/>
  <c r="F31" i="241"/>
  <c r="F128" i="330"/>
  <c r="I110" i="325"/>
  <c r="J110" i="325"/>
  <c r="E100" i="318"/>
  <c r="E102" i="318"/>
  <c r="C49" i="334"/>
  <c r="G36" i="272"/>
  <c r="I306" i="323"/>
  <c r="J306" i="323"/>
  <c r="G41" i="334"/>
  <c r="F47" i="334"/>
  <c r="G47" i="334"/>
  <c r="F28" i="174"/>
  <c r="F7" i="174"/>
  <c r="B20" i="267"/>
  <c r="B23" i="267"/>
  <c r="B25" i="267"/>
  <c r="E166" i="326"/>
  <c r="E12" i="272"/>
  <c r="E49" i="241"/>
  <c r="E50" i="241"/>
  <c r="D2" i="242"/>
  <c r="C77" i="172"/>
  <c r="D2" i="323"/>
  <c r="C2" i="267"/>
  <c r="D2" i="333"/>
  <c r="F16" i="334"/>
  <c r="K75" i="330"/>
  <c r="K52" i="317"/>
  <c r="K65" i="317"/>
  <c r="E106" i="318"/>
  <c r="E49" i="318"/>
  <c r="F63" i="268"/>
  <c r="F31" i="183"/>
  <c r="H6" i="267"/>
  <c r="I6" i="267" s="1"/>
  <c r="G9" i="272"/>
  <c r="C47" i="334"/>
  <c r="I38" i="272"/>
  <c r="J38" i="272"/>
  <c r="K7" i="333"/>
  <c r="E75" i="325"/>
  <c r="E166" i="325"/>
  <c r="I114" i="333"/>
  <c r="J114" i="333"/>
  <c r="G110" i="333"/>
  <c r="I110" i="333"/>
  <c r="J110" i="333"/>
  <c r="E110" i="335"/>
  <c r="C110" i="333"/>
  <c r="C166" i="333"/>
  <c r="I140" i="335"/>
  <c r="J140" i="335" s="1"/>
  <c r="G138" i="335"/>
  <c r="I138" i="335" s="1"/>
  <c r="J138" i="335" s="1"/>
  <c r="I118" i="325"/>
  <c r="J118" i="325" s="1"/>
  <c r="E7" i="335"/>
  <c r="O12" i="238"/>
  <c r="E50" i="318"/>
  <c r="E104" i="318"/>
  <c r="E105" i="318"/>
  <c r="G16" i="334"/>
  <c r="F28" i="334"/>
  <c r="E166" i="335"/>
  <c r="F49" i="334"/>
  <c r="G49" i="334"/>
  <c r="G28" i="334"/>
  <c r="D63" i="268"/>
  <c r="H29" i="272"/>
  <c r="I37" i="272"/>
  <c r="J37" i="272"/>
  <c r="I273" i="323"/>
  <c r="J273" i="323"/>
  <c r="D339" i="323"/>
  <c r="C339" i="323"/>
  <c r="W340" i="323"/>
  <c r="G26" i="272"/>
  <c r="E339" i="323"/>
  <c r="C25" i="272"/>
  <c r="C39" i="272"/>
  <c r="E39" i="272"/>
  <c r="P340" i="323"/>
  <c r="R340" i="323"/>
  <c r="T340" i="323"/>
  <c r="L340" i="323"/>
  <c r="O340" i="323"/>
  <c r="G20" i="272"/>
  <c r="I20" i="272"/>
  <c r="J20" i="272"/>
  <c r="H19" i="272"/>
  <c r="I19" i="272"/>
  <c r="J19" i="272"/>
  <c r="H18" i="272"/>
  <c r="I18" i="272"/>
  <c r="J18" i="272"/>
  <c r="E171" i="323"/>
  <c r="E21" i="272"/>
  <c r="C21" i="272"/>
  <c r="C171" i="323"/>
  <c r="C341" i="323"/>
  <c r="I39" i="323"/>
  <c r="J39" i="323" s="1"/>
  <c r="H6" i="272"/>
  <c r="I6" i="272" s="1"/>
  <c r="A218" i="323"/>
  <c r="A28" i="272"/>
  <c r="A10" i="272"/>
  <c r="A10" i="268"/>
  <c r="D39" i="272"/>
  <c r="D171" i="323"/>
  <c r="D8" i="272"/>
  <c r="D38" i="241"/>
  <c r="D99" i="330"/>
  <c r="D16" i="241"/>
  <c r="D15" i="241"/>
  <c r="D6" i="241"/>
  <c r="H13" i="267"/>
  <c r="I13" i="267" s="1"/>
  <c r="E40" i="272"/>
  <c r="E341" i="323"/>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I171" i="324"/>
  <c r="I26" i="268" s="1"/>
  <c r="J26" i="268" s="1"/>
  <c r="K145" i="324"/>
  <c r="S315" i="324"/>
  <c r="C21" i="268"/>
  <c r="D21" i="268"/>
  <c r="H18" i="324"/>
  <c r="I18" i="324" s="1"/>
  <c r="J18" i="324" s="1"/>
  <c r="H19" i="268"/>
  <c r="I19" i="268"/>
  <c r="J19" i="268"/>
  <c r="I281" i="324"/>
  <c r="I17" i="268"/>
  <c r="J17" i="268"/>
  <c r="C314" i="324"/>
  <c r="T315" i="324"/>
  <c r="D39" i="268"/>
  <c r="E39" i="268"/>
  <c r="U315" i="324"/>
  <c r="E21" i="268"/>
  <c r="H34" i="268"/>
  <c r="I259" i="324"/>
  <c r="C39" i="268"/>
  <c r="H27" i="268"/>
  <c r="I182" i="324"/>
  <c r="J182" i="324" s="1"/>
  <c r="D314" i="324"/>
  <c r="E145" i="324"/>
  <c r="K314" i="324"/>
  <c r="C145" i="324"/>
  <c r="G16" i="268"/>
  <c r="I16" i="268"/>
  <c r="J16" i="268"/>
  <c r="G30" i="268"/>
  <c r="I215" i="324"/>
  <c r="H35" i="268"/>
  <c r="I270" i="324"/>
  <c r="E314" i="324"/>
  <c r="H15" i="268"/>
  <c r="I15" i="268"/>
  <c r="J15" i="268"/>
  <c r="H7" i="324"/>
  <c r="H6" i="268" s="1"/>
  <c r="H12" i="324"/>
  <c r="I14" i="324"/>
  <c r="J14" i="324" s="1"/>
  <c r="H32" i="268"/>
  <c r="I237" i="324"/>
  <c r="H37" i="268"/>
  <c r="I292" i="324"/>
  <c r="G10" i="268"/>
  <c r="G20" i="268"/>
  <c r="I20" i="268"/>
  <c r="J20" i="268"/>
  <c r="G24" i="268"/>
  <c r="I149" i="324"/>
  <c r="G33" i="268"/>
  <c r="I248" i="324"/>
  <c r="G38" i="268"/>
  <c r="I303" i="324"/>
  <c r="H23" i="324"/>
  <c r="H9" i="268" s="1"/>
  <c r="I9" i="268" s="1"/>
  <c r="J9" i="268" s="1"/>
  <c r="K148" i="330"/>
  <c r="K26" i="330"/>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I103" i="335" s="1"/>
  <c r="J103" i="335" s="1"/>
  <c r="H76" i="335"/>
  <c r="I55" i="335"/>
  <c r="J55" i="335"/>
  <c r="I41" i="335"/>
  <c r="J41" i="335" s="1"/>
  <c r="I21" i="335"/>
  <c r="J21" i="335"/>
  <c r="H35" i="324"/>
  <c r="H11" i="268" s="1"/>
  <c r="I27" i="324"/>
  <c r="J27" i="324" s="1"/>
  <c r="G29" i="267"/>
  <c r="H57" i="268"/>
  <c r="I57" i="268" s="1"/>
  <c r="J57" i="268" s="1"/>
  <c r="I49" i="268"/>
  <c r="J49" i="268" s="1"/>
  <c r="I45" i="268"/>
  <c r="J45" i="268" s="1"/>
  <c r="H235" i="330"/>
  <c r="I223" i="330"/>
  <c r="J223" i="330" s="1"/>
  <c r="I179" i="330"/>
  <c r="J179" i="330" s="1"/>
  <c r="H171" i="330"/>
  <c r="I171" i="330" s="1"/>
  <c r="J171" i="330" s="1"/>
  <c r="H118" i="330"/>
  <c r="I88" i="330"/>
  <c r="J88" i="330" s="1"/>
  <c r="C316" i="324"/>
  <c r="E40" i="268"/>
  <c r="D28" i="267"/>
  <c r="C40" i="268"/>
  <c r="B28" i="267"/>
  <c r="D316" i="324"/>
  <c r="I31" i="268"/>
  <c r="J31" i="268"/>
  <c r="D40" i="268"/>
  <c r="J281" i="324"/>
  <c r="I36" i="268"/>
  <c r="J36" i="268"/>
  <c r="I38" i="268"/>
  <c r="J38" i="268"/>
  <c r="J303" i="324"/>
  <c r="J149" i="324"/>
  <c r="I24" i="268"/>
  <c r="J24" i="268" s="1"/>
  <c r="I27" i="268"/>
  <c r="J27" i="268"/>
  <c r="I30" i="268"/>
  <c r="J30" i="268"/>
  <c r="J215" i="324"/>
  <c r="J248" i="324"/>
  <c r="I33" i="268"/>
  <c r="J33" i="268"/>
  <c r="I32" i="268"/>
  <c r="J32" i="268"/>
  <c r="J237" i="324"/>
  <c r="E316" i="324"/>
  <c r="J292" i="324"/>
  <c r="I37" i="268"/>
  <c r="J37" i="268"/>
  <c r="I35" i="268"/>
  <c r="J35" i="268"/>
  <c r="J270" i="324"/>
  <c r="I34" i="268"/>
  <c r="J34" i="268"/>
  <c r="J259" i="324"/>
  <c r="H75" i="335"/>
  <c r="I76" i="335"/>
  <c r="J76" i="335"/>
  <c r="H47" i="241"/>
  <c r="H25" i="241"/>
  <c r="F46" i="174"/>
  <c r="F8" i="174"/>
  <c r="E86" i="268"/>
  <c r="D86" i="268"/>
  <c r="E46" i="174"/>
  <c r="E8" i="174"/>
  <c r="C86" i="268"/>
  <c r="D46" i="174"/>
  <c r="D8" i="174"/>
  <c r="C28" i="267"/>
  <c r="G8" i="272"/>
  <c r="G339" i="323"/>
  <c r="G6" i="330"/>
  <c r="F8" i="241"/>
  <c r="F6" i="241" s="1"/>
  <c r="F75" i="330"/>
  <c r="I209" i="330"/>
  <c r="J209" i="330" s="1"/>
  <c r="F197" i="330"/>
  <c r="D43" i="178"/>
  <c r="D54" i="178"/>
  <c r="C37" i="267"/>
  <c r="G26" i="178"/>
  <c r="H39" i="174"/>
  <c r="I154" i="333"/>
  <c r="J154" i="333" s="1"/>
  <c r="N24" i="238"/>
  <c r="I229" i="323"/>
  <c r="J229" i="323" s="1"/>
  <c r="G45" i="174"/>
  <c r="H12" i="267"/>
  <c r="I12" i="267" s="1"/>
  <c r="K166" i="335"/>
  <c r="H45" i="335"/>
  <c r="I45" i="335" s="1"/>
  <c r="J45" i="335" s="1"/>
  <c r="H27" i="335"/>
  <c r="I27" i="335" s="1"/>
  <c r="J27" i="335" s="1"/>
  <c r="I17" i="335"/>
  <c r="J17" i="335" s="1"/>
  <c r="D7" i="335"/>
  <c r="D166" i="335"/>
  <c r="K166" i="333"/>
  <c r="I149" i="333"/>
  <c r="J149" i="333" s="1"/>
  <c r="H118" i="333"/>
  <c r="H99" i="333"/>
  <c r="H76" i="333"/>
  <c r="D7" i="333"/>
  <c r="D166" i="333"/>
  <c r="H8" i="333"/>
  <c r="K166" i="325"/>
  <c r="H103" i="325"/>
  <c r="I103" i="325" s="1"/>
  <c r="J103" i="325" s="1"/>
  <c r="D166" i="325"/>
  <c r="I8" i="325"/>
  <c r="J8" i="325" s="1"/>
  <c r="D166" i="326"/>
  <c r="I9" i="326"/>
  <c r="J9" i="326" s="1"/>
  <c r="H140" i="242"/>
  <c r="I140" i="242" s="1"/>
  <c r="J140" i="242" s="1"/>
  <c r="H76" i="242"/>
  <c r="G9" i="180"/>
  <c r="C30" i="172"/>
  <c r="C29" i="172"/>
  <c r="J6" i="180"/>
  <c r="N33" i="317"/>
  <c r="N52" i="317"/>
  <c r="N54" i="317"/>
  <c r="N65" i="317"/>
  <c r="K49" i="318"/>
  <c r="K50" i="318"/>
  <c r="I58" i="269"/>
  <c r="J58" i="269"/>
  <c r="D62" i="269"/>
  <c r="I31" i="269"/>
  <c r="J31" i="269"/>
  <c r="D33" i="269"/>
  <c r="I29" i="269"/>
  <c r="J29" i="269"/>
  <c r="C62" i="269"/>
  <c r="E33" i="269"/>
  <c r="I60" i="269"/>
  <c r="J60" i="269"/>
  <c r="K33" i="269"/>
  <c r="E62" i="269"/>
  <c r="G33" i="269"/>
  <c r="F33" i="269"/>
  <c r="C33" i="269"/>
  <c r="I59" i="270"/>
  <c r="J59" i="270"/>
  <c r="I31" i="270"/>
  <c r="J31" i="270"/>
  <c r="I29" i="270"/>
  <c r="J29" i="270"/>
  <c r="C33" i="270"/>
  <c r="A31" i="334"/>
  <c r="F61" i="270"/>
  <c r="C61" i="270"/>
  <c r="A60" i="269"/>
  <c r="D61" i="270"/>
  <c r="D63" i="270" s="1"/>
  <c r="A58" i="269"/>
  <c r="G33" i="270"/>
  <c r="E33" i="270"/>
  <c r="E63" i="270"/>
  <c r="I37" i="270"/>
  <c r="J37" i="270" s="1"/>
  <c r="K33" i="270"/>
  <c r="D33" i="270"/>
  <c r="F33" i="270"/>
  <c r="J9" i="270"/>
  <c r="H8" i="270"/>
  <c r="A45" i="269"/>
  <c r="C43" i="267"/>
  <c r="H10" i="174"/>
  <c r="H11" i="174"/>
  <c r="H14" i="174"/>
  <c r="H13" i="174"/>
  <c r="K39" i="268"/>
  <c r="K316" i="324"/>
  <c r="K21" i="268"/>
  <c r="J11" i="267"/>
  <c r="H28" i="174"/>
  <c r="H17" i="174"/>
  <c r="H26" i="174"/>
  <c r="E45" i="174"/>
  <c r="E7" i="174"/>
  <c r="I33" i="182"/>
  <c r="J33" i="182" s="1"/>
  <c r="H22" i="181"/>
  <c r="G10" i="267"/>
  <c r="H53" i="182"/>
  <c r="E55" i="174"/>
  <c r="D38" i="182"/>
  <c r="D42" i="182"/>
  <c r="D44" i="182"/>
  <c r="D46" i="182"/>
  <c r="D48" i="182"/>
  <c r="E11" i="174"/>
  <c r="D341" i="323"/>
  <c r="D21" i="272"/>
  <c r="D40" i="272"/>
  <c r="K339" i="323"/>
  <c r="K21" i="272"/>
  <c r="K171" i="323"/>
  <c r="K197" i="330"/>
  <c r="K221" i="330"/>
  <c r="K43" i="241"/>
  <c r="K39" i="241"/>
  <c r="K29" i="241"/>
  <c r="K128" i="330"/>
  <c r="K247" i="330"/>
  <c r="K20" i="241"/>
  <c r="K99" i="330"/>
  <c r="K125" i="330"/>
  <c r="K256" i="330"/>
  <c r="K16" i="241"/>
  <c r="K10" i="241"/>
  <c r="D33" i="241"/>
  <c r="D49" i="241"/>
  <c r="D50" i="241"/>
  <c r="I113" i="330"/>
  <c r="J113" i="330" s="1"/>
  <c r="D20" i="241"/>
  <c r="H23" i="241"/>
  <c r="H99" i="330"/>
  <c r="I104" i="330"/>
  <c r="J104" i="330" s="1"/>
  <c r="H22" i="241"/>
  <c r="H18" i="241"/>
  <c r="H75" i="330"/>
  <c r="I87" i="330"/>
  <c r="J87" i="330" s="1"/>
  <c r="I60" i="330"/>
  <c r="J60" i="330" s="1"/>
  <c r="D10" i="241"/>
  <c r="D26" i="241"/>
  <c r="H49" i="330"/>
  <c r="H12" i="241" s="1"/>
  <c r="I12" i="241" s="1"/>
  <c r="J12" i="241" s="1"/>
  <c r="D26" i="330"/>
  <c r="D125" i="330"/>
  <c r="K8" i="241"/>
  <c r="K6" i="241"/>
  <c r="A1" i="331"/>
  <c r="B4" i="331"/>
  <c r="B8" i="331"/>
  <c r="A1" i="328"/>
  <c r="F26" i="175"/>
  <c r="F27" i="175" s="1"/>
  <c r="H50" i="267"/>
  <c r="C50" i="267"/>
  <c r="I50" i="267"/>
  <c r="F50" i="267"/>
  <c r="J26" i="175"/>
  <c r="J27" i="175" s="1"/>
  <c r="I157" i="335"/>
  <c r="J157" i="335" s="1"/>
  <c r="J8" i="180"/>
  <c r="H8" i="180"/>
  <c r="I8" i="180" s="1"/>
  <c r="H6" i="180"/>
  <c r="I6" i="180"/>
  <c r="G43" i="178"/>
  <c r="G54" i="178"/>
  <c r="H117" i="333"/>
  <c r="H7" i="333"/>
  <c r="C31" i="172"/>
  <c r="G10" i="180"/>
  <c r="N56" i="317"/>
  <c r="N66" i="317"/>
  <c r="C64" i="269"/>
  <c r="D64" i="269"/>
  <c r="E64" i="269"/>
  <c r="C63" i="270"/>
  <c r="K40" i="268"/>
  <c r="E17" i="174"/>
  <c r="E26" i="174"/>
  <c r="E28" i="174"/>
  <c r="E27" i="174"/>
  <c r="K341" i="323"/>
  <c r="K26" i="241"/>
  <c r="D256" i="330"/>
  <c r="K248" i="330"/>
  <c r="C32" i="172"/>
  <c r="G11" i="180"/>
  <c r="H46" i="174"/>
  <c r="H8" i="174"/>
  <c r="K86" i="268"/>
  <c r="J28" i="267"/>
  <c r="C33" i="172"/>
  <c r="G12" i="180"/>
  <c r="C34" i="172"/>
  <c r="G13" i="180"/>
  <c r="G14" i="180"/>
  <c r="C35" i="172"/>
  <c r="G15" i="180"/>
  <c r="C36" i="172"/>
  <c r="G16" i="180"/>
  <c r="C37" i="172"/>
  <c r="G17" i="180"/>
  <c r="C39" i="172"/>
  <c r="C38" i="172"/>
  <c r="I92" i="318"/>
  <c r="J92" i="318" s="1"/>
  <c r="D106" i="318"/>
  <c r="K106" i="318"/>
  <c r="K84" i="318"/>
  <c r="K102" i="318"/>
  <c r="K104" i="318"/>
  <c r="K105" i="318"/>
  <c r="D102" i="318"/>
  <c r="D104" i="318"/>
  <c r="D105" i="318"/>
  <c r="D84" i="318"/>
  <c r="C19" i="267"/>
  <c r="C20" i="267"/>
  <c r="C23" i="267"/>
  <c r="C25" i="267"/>
  <c r="K257" i="330"/>
  <c r="J18" i="267"/>
  <c r="J19" i="267"/>
  <c r="J20" i="267"/>
  <c r="J23" i="267"/>
  <c r="J25" i="267"/>
  <c r="H45" i="174"/>
  <c r="H7" i="174"/>
  <c r="K38" i="182"/>
  <c r="K42" i="182"/>
  <c r="K44" i="182"/>
  <c r="K46" i="182"/>
  <c r="K48" i="182"/>
  <c r="J16" i="267"/>
  <c r="I29" i="182"/>
  <c r="J29" i="182" s="1"/>
  <c r="D248" i="330"/>
  <c r="D257" i="330"/>
  <c r="G7" i="242" l="1"/>
  <c r="G166" i="242" s="1"/>
  <c r="H16" i="180"/>
  <c r="I12" i="180"/>
  <c r="J12" i="180"/>
  <c r="B33" i="172"/>
  <c r="J9" i="180"/>
  <c r="G74" i="268"/>
  <c r="I74" i="268" s="1"/>
  <c r="J74" i="268" s="1"/>
  <c r="F29" i="267"/>
  <c r="H29" i="267" s="1"/>
  <c r="I29" i="267" s="1"/>
  <c r="B61" i="100"/>
  <c r="O20" i="238"/>
  <c r="O22" i="238" s="1"/>
  <c r="O24" i="238" s="1"/>
  <c r="G7" i="174"/>
  <c r="K21" i="175"/>
  <c r="G62" i="269"/>
  <c r="F64" i="269"/>
  <c r="G64" i="269"/>
  <c r="G63" i="270"/>
  <c r="G75" i="335"/>
  <c r="I75" i="335" s="1"/>
  <c r="J75" i="335" s="1"/>
  <c r="I99" i="333"/>
  <c r="J99" i="333" s="1"/>
  <c r="G166" i="325"/>
  <c r="I17" i="325"/>
  <c r="J17" i="325" s="1"/>
  <c r="I38" i="242"/>
  <c r="J38" i="242" s="1"/>
  <c r="I17" i="180"/>
  <c r="J17" i="180"/>
  <c r="H11" i="180"/>
  <c r="J11" i="180"/>
  <c r="J16" i="180"/>
  <c r="I16" i="180"/>
  <c r="K15" i="173"/>
  <c r="J52" i="267" s="1"/>
  <c r="E53" i="172"/>
  <c r="K14" i="175"/>
  <c r="K26" i="175" s="1"/>
  <c r="K27" i="175" s="1"/>
  <c r="F44" i="267"/>
  <c r="H44" i="267"/>
  <c r="I44" i="267" s="1"/>
  <c r="H43" i="267"/>
  <c r="I43" i="267" s="1"/>
  <c r="G11" i="174"/>
  <c r="I193" i="324"/>
  <c r="I28" i="268" s="1"/>
  <c r="J28" i="268" s="1"/>
  <c r="H31" i="267"/>
  <c r="I31" i="267" s="1"/>
  <c r="F33" i="267"/>
  <c r="E18" i="267"/>
  <c r="F18" i="267"/>
  <c r="F19" i="267" s="1"/>
  <c r="H8" i="267"/>
  <c r="I8" i="267" s="1"/>
  <c r="I27" i="272"/>
  <c r="J27" i="272" s="1"/>
  <c r="I196" i="323"/>
  <c r="J196" i="323" s="1"/>
  <c r="I41" i="241"/>
  <c r="J41" i="241" s="1"/>
  <c r="F148" i="330"/>
  <c r="I129" i="330"/>
  <c r="J129" i="330" s="1"/>
  <c r="I118" i="330"/>
  <c r="J118" i="330" s="1"/>
  <c r="G23" i="241"/>
  <c r="I108" i="330"/>
  <c r="J108" i="330" s="1"/>
  <c r="F99" i="330"/>
  <c r="F21" i="241"/>
  <c r="F20" i="241" s="1"/>
  <c r="I76" i="330"/>
  <c r="J76" i="330" s="1"/>
  <c r="I17" i="241"/>
  <c r="J17" i="241" s="1"/>
  <c r="G75" i="330"/>
  <c r="I75" i="330" s="1"/>
  <c r="J75" i="330" s="1"/>
  <c r="F26" i="330"/>
  <c r="I8" i="335"/>
  <c r="J8" i="335" s="1"/>
  <c r="I140" i="333"/>
  <c r="J140" i="333" s="1"/>
  <c r="I118" i="333"/>
  <c r="J118" i="333" s="1"/>
  <c r="H138" i="242"/>
  <c r="I138" i="242" s="1"/>
  <c r="J138" i="242" s="1"/>
  <c r="H7" i="242"/>
  <c r="H33" i="269"/>
  <c r="H33" i="270"/>
  <c r="J171" i="324"/>
  <c r="I10" i="268"/>
  <c r="J10" i="268" s="1"/>
  <c r="I29" i="324"/>
  <c r="J29" i="324" s="1"/>
  <c r="H8" i="268"/>
  <c r="I8" i="268" s="1"/>
  <c r="J8" i="268" s="1"/>
  <c r="I29" i="272"/>
  <c r="J29" i="272" s="1"/>
  <c r="H26" i="272"/>
  <c r="I10" i="272"/>
  <c r="J10" i="272" s="1"/>
  <c r="I28" i="323"/>
  <c r="J28" i="323" s="1"/>
  <c r="I146" i="330"/>
  <c r="J146" i="330" s="1"/>
  <c r="I230" i="330"/>
  <c r="J230" i="330" s="1"/>
  <c r="I36" i="241"/>
  <c r="J36" i="241" s="1"/>
  <c r="H30" i="241"/>
  <c r="I99" i="330"/>
  <c r="J99" i="330" s="1"/>
  <c r="H20" i="241"/>
  <c r="A1" i="241"/>
  <c r="G148" i="330"/>
  <c r="I177" i="330"/>
  <c r="J177" i="330" s="1"/>
  <c r="F40" i="267"/>
  <c r="F38" i="267"/>
  <c r="G10" i="174"/>
  <c r="E19" i="267"/>
  <c r="F38" i="182"/>
  <c r="F42" i="182" s="1"/>
  <c r="F44" i="182" s="1"/>
  <c r="F46" i="182" s="1"/>
  <c r="F48" i="182" s="1"/>
  <c r="D104" i="172"/>
  <c r="C79" i="172"/>
  <c r="B79" i="172" s="1"/>
  <c r="C171" i="335"/>
  <c r="F166" i="242"/>
  <c r="D166" i="242"/>
  <c r="I76" i="242"/>
  <c r="J76" i="242" s="1"/>
  <c r="K171" i="335"/>
  <c r="K171" i="326"/>
  <c r="K171" i="242"/>
  <c r="D171" i="326"/>
  <c r="D171" i="335"/>
  <c r="D171" i="242"/>
  <c r="C171" i="326"/>
  <c r="I152" i="242"/>
  <c r="J152" i="242" s="1"/>
  <c r="E75" i="242"/>
  <c r="E166" i="242" s="1"/>
  <c r="E171" i="242" s="1"/>
  <c r="I117" i="242"/>
  <c r="J117" i="242" s="1"/>
  <c r="I148" i="242"/>
  <c r="J148" i="242" s="1"/>
  <c r="I103" i="242"/>
  <c r="J103" i="242" s="1"/>
  <c r="G166" i="335"/>
  <c r="F7" i="335"/>
  <c r="F166" i="335" s="1"/>
  <c r="F117" i="333"/>
  <c r="G7" i="333"/>
  <c r="I7" i="333" s="1"/>
  <c r="J7" i="333" s="1"/>
  <c r="I27" i="333"/>
  <c r="J27" i="333" s="1"/>
  <c r="F7" i="333"/>
  <c r="F75" i="333"/>
  <c r="I157" i="333"/>
  <c r="J157" i="333" s="1"/>
  <c r="G138" i="333"/>
  <c r="I138" i="333" s="1"/>
  <c r="J138" i="333" s="1"/>
  <c r="G117" i="333"/>
  <c r="I117" i="333" s="1"/>
  <c r="J117" i="333" s="1"/>
  <c r="I17" i="333"/>
  <c r="J17" i="333" s="1"/>
  <c r="F166" i="325"/>
  <c r="I154" i="242"/>
  <c r="J154" i="242" s="1"/>
  <c r="H7" i="180"/>
  <c r="I7" i="180" s="1"/>
  <c r="I13" i="180"/>
  <c r="J7" i="180"/>
  <c r="H13" i="180"/>
  <c r="H17" i="180"/>
  <c r="F38" i="181"/>
  <c r="F42" i="181" s="1"/>
  <c r="F44" i="181" s="1"/>
  <c r="G38" i="181"/>
  <c r="G42" i="181" s="1"/>
  <c r="G44" i="181" s="1"/>
  <c r="I36" i="181"/>
  <c r="J36" i="181" s="1"/>
  <c r="F104" i="318"/>
  <c r="G102" i="318"/>
  <c r="G104" i="318" s="1"/>
  <c r="G106" i="318"/>
  <c r="I83" i="318"/>
  <c r="J83" i="318" s="1"/>
  <c r="I46" i="318"/>
  <c r="J46" i="318" s="1"/>
  <c r="I45" i="269"/>
  <c r="J45" i="269" s="1"/>
  <c r="F63" i="270"/>
  <c r="F41" i="178"/>
  <c r="G13" i="174"/>
  <c r="F36" i="267"/>
  <c r="F26" i="178"/>
  <c r="I204" i="324"/>
  <c r="G314" i="324"/>
  <c r="G39" i="268"/>
  <c r="F39" i="268"/>
  <c r="F314" i="324"/>
  <c r="I11" i="268"/>
  <c r="J11" i="268" s="1"/>
  <c r="I35" i="324"/>
  <c r="J35" i="324" s="1"/>
  <c r="G21" i="268"/>
  <c r="F21" i="268"/>
  <c r="G145" i="324"/>
  <c r="I12" i="324"/>
  <c r="J12" i="324" s="1"/>
  <c r="F145" i="324"/>
  <c r="E33" i="267"/>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G39" i="272"/>
  <c r="I26" i="272"/>
  <c r="J26" i="272" s="1"/>
  <c r="F39" i="272"/>
  <c r="I174" i="323"/>
  <c r="J174" i="323" s="1"/>
  <c r="F339" i="323"/>
  <c r="G171" i="323"/>
  <c r="G341" i="323" s="1"/>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I30" i="241"/>
  <c r="J30" i="241" s="1"/>
  <c r="G29" i="241"/>
  <c r="I25" i="241"/>
  <c r="J25" i="241" s="1"/>
  <c r="I24" i="241"/>
  <c r="J24" i="241" s="1"/>
  <c r="I23" i="241"/>
  <c r="J23" i="241" s="1"/>
  <c r="I22" i="241"/>
  <c r="J22" i="241" s="1"/>
  <c r="I21" i="241"/>
  <c r="J21" i="241" s="1"/>
  <c r="G20" i="241"/>
  <c r="G16" i="241"/>
  <c r="I18" i="241"/>
  <c r="J18" i="241" s="1"/>
  <c r="F16" i="241"/>
  <c r="I14" i="241"/>
  <c r="J14" i="241" s="1"/>
  <c r="I13" i="241"/>
  <c r="J13" i="241" s="1"/>
  <c r="F10" i="241"/>
  <c r="G10" i="241"/>
  <c r="I11" i="241"/>
  <c r="J11" i="241" s="1"/>
  <c r="I27" i="330"/>
  <c r="J27" i="330" s="1"/>
  <c r="G26" i="330"/>
  <c r="B95" i="100"/>
  <c r="H7" i="335"/>
  <c r="I7" i="335" s="1"/>
  <c r="J7" i="335" s="1"/>
  <c r="H75" i="333"/>
  <c r="I75" i="333" s="1"/>
  <c r="J75" i="333" s="1"/>
  <c r="I76" i="333"/>
  <c r="J76" i="333" s="1"/>
  <c r="H75" i="325"/>
  <c r="I75" i="325" s="1"/>
  <c r="J75" i="325" s="1"/>
  <c r="H7" i="325"/>
  <c r="I7" i="325" s="1"/>
  <c r="J7" i="325" s="1"/>
  <c r="I8" i="326"/>
  <c r="J8" i="326" s="1"/>
  <c r="H7" i="326"/>
  <c r="H75" i="242"/>
  <c r="I29" i="181"/>
  <c r="J29" i="181" s="1"/>
  <c r="H38" i="181"/>
  <c r="H42" i="181" s="1"/>
  <c r="I22" i="181"/>
  <c r="J22" i="181" s="1"/>
  <c r="H102" i="318"/>
  <c r="I102" i="318" s="1"/>
  <c r="J102" i="318" s="1"/>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46" i="267" s="1"/>
  <c r="I46" i="267" s="1"/>
  <c r="H39" i="268"/>
  <c r="I160" i="324"/>
  <c r="H314" i="324"/>
  <c r="I23" i="324"/>
  <c r="J23" i="324" s="1"/>
  <c r="H7" i="268"/>
  <c r="I7" i="268" s="1"/>
  <c r="J7" i="268" s="1"/>
  <c r="H145" i="324"/>
  <c r="I6" i="268"/>
  <c r="I7" i="324"/>
  <c r="J7" i="324" s="1"/>
  <c r="G33" i="267"/>
  <c r="H53" i="268"/>
  <c r="I53" i="268" s="1"/>
  <c r="J53" i="268" s="1"/>
  <c r="H36" i="182"/>
  <c r="I30" i="182"/>
  <c r="J30" i="182" s="1"/>
  <c r="G11" i="267"/>
  <c r="I207" i="323"/>
  <c r="J207" i="323" s="1"/>
  <c r="H25" i="272"/>
  <c r="I25" i="272" s="1"/>
  <c r="J25" i="272" s="1"/>
  <c r="I185" i="323"/>
  <c r="J185" i="323" s="1"/>
  <c r="H339" i="323"/>
  <c r="I339" i="323" s="1"/>
  <c r="J339" i="323" s="1"/>
  <c r="H39" i="272"/>
  <c r="I186" i="323"/>
  <c r="J186" i="323" s="1"/>
  <c r="I24" i="272"/>
  <c r="I17" i="323"/>
  <c r="J17" i="323" s="1"/>
  <c r="H7" i="272"/>
  <c r="H171" i="323"/>
  <c r="J6" i="272"/>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334"/>
  <c r="A1" i="175"/>
  <c r="A1" i="242"/>
  <c r="A1" i="173"/>
  <c r="A1" i="183"/>
  <c r="A1" i="318"/>
  <c r="A1" i="238"/>
  <c r="A1" i="174"/>
  <c r="A1" i="317"/>
  <c r="A1" i="180"/>
  <c r="A1" i="269"/>
  <c r="A1" i="335"/>
  <c r="A1" i="270"/>
  <c r="A1" i="325"/>
  <c r="A1" i="181"/>
  <c r="A1" i="326"/>
  <c r="A1" i="333"/>
  <c r="A1" i="178"/>
  <c r="A1" i="251"/>
  <c r="A1" i="323"/>
  <c r="A1" i="177"/>
  <c r="A1" i="182"/>
  <c r="A1" i="268"/>
  <c r="A1" i="272"/>
  <c r="A1" i="267"/>
  <c r="A1" i="324"/>
  <c r="A1" i="330"/>
  <c r="D64" i="100"/>
  <c r="J193" i="324" l="1"/>
  <c r="I7" i="242"/>
  <c r="J7" i="242" s="1"/>
  <c r="F247" i="330"/>
  <c r="F257" i="330" s="1"/>
  <c r="E20" i="267"/>
  <c r="E23" i="267" s="1"/>
  <c r="E25" i="267" s="1"/>
  <c r="J50" i="267"/>
  <c r="F40" i="268"/>
  <c r="F86" i="268" s="1"/>
  <c r="H33" i="267"/>
  <c r="I33" i="267" s="1"/>
  <c r="G247" i="330"/>
  <c r="G257" i="330" s="1"/>
  <c r="F125" i="330"/>
  <c r="F256" i="330" s="1"/>
  <c r="G125" i="330"/>
  <c r="G256" i="330" s="1"/>
  <c r="H166" i="333"/>
  <c r="H64" i="269"/>
  <c r="I33" i="269"/>
  <c r="J33" i="269" s="1"/>
  <c r="H21" i="268"/>
  <c r="H40" i="268" s="1"/>
  <c r="G28" i="267" s="1"/>
  <c r="G40" i="272"/>
  <c r="I26" i="330"/>
  <c r="J26" i="330" s="1"/>
  <c r="E171" i="326"/>
  <c r="E171" i="335"/>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G26" i="241"/>
  <c r="I16" i="241"/>
  <c r="J16" i="241" s="1"/>
  <c r="F26" i="241"/>
  <c r="I10" i="241"/>
  <c r="J10" i="241" s="1"/>
  <c r="H166" i="335"/>
  <c r="I166" i="335" s="1"/>
  <c r="J166" i="335" s="1"/>
  <c r="H166" i="325"/>
  <c r="I166" i="325" s="1"/>
  <c r="J166" i="325" s="1"/>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J24" i="272"/>
  <c r="I39" i="272"/>
  <c r="J39" i="272" s="1"/>
  <c r="I7" i="272"/>
  <c r="H21" i="272"/>
  <c r="H40" i="272" s="1"/>
  <c r="I171" i="323"/>
  <c r="J171" i="323" s="1"/>
  <c r="H341" i="323"/>
  <c r="I341" i="323" s="1"/>
  <c r="J341" i="323" s="1"/>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F248" i="330" l="1"/>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<sst xmlns="http://schemas.openxmlformats.org/spreadsheetml/2006/main" count="2987" uniqueCount="1460">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</sst>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7"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641707402.23000014</c:v>
                </c:pt>
                <c:pt idx="1">
                  <c:v>149495508.66</c:v>
                </c:pt>
                <c:pt idx="2">
                  <c:v>108483511.43999998</c:v>
                </c:pt>
                <c:pt idx="3">
                  <c:v>90275349.409999996</c:v>
                </c:pt>
                <c:pt idx="4">
                  <c:v>61661672.800000004</c:v>
                </c:pt>
                <c:pt idx="5">
                  <c:v>88894474.260000005</c:v>
                </c:pt>
                <c:pt idx="6">
                  <c:v>536986308.65999997</c:v>
                </c:pt>
                <c:pt idx="7">
                  <c:v>3001583808.6599998</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224861060.53039998</c:v>
                </c:pt>
                <c:pt idx="1">
                  <c:v>750619111.8520999</c:v>
                </c:pt>
                <c:pt idx="2">
                  <c:v>3337107907.9438996</c:v>
                </c:pt>
                <c:pt idx="3">
                  <c:v>226127314.71000001</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231815526.31999999</c:v>
                </c:pt>
                <c:pt idx="1">
                  <c:v>773834135.92999995</c:v>
                </c:pt>
                <c:pt idx="2">
                  <c:v>3440317430.8699999</c:v>
                </c:pt>
                <c:pt idx="3">
                  <c:v>233120943</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230871137</c:v>
                </c:pt>
                <c:pt idx="1">
                  <c:v>64933954</c:v>
                </c:pt>
                <c:pt idx="2">
                  <c:v>0</c:v>
                </c:pt>
                <c:pt idx="3">
                  <c:v>102675874</c:v>
                </c:pt>
                <c:pt idx="4">
                  <c:v>0</c:v>
                </c:pt>
                <c:pt idx="5">
                  <c:v>0</c:v>
                </c:pt>
                <c:pt idx="6">
                  <c:v>67396930</c:v>
                </c:pt>
                <c:pt idx="7">
                  <c:v>0</c:v>
                </c:pt>
                <c:pt idx="8">
                  <c:v>248778058</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370599358.48000002</c:v>
                </c:pt>
                <c:pt idx="1">
                  <c:v>245542906.60000002</c:v>
                </c:pt>
                <c:pt idx="2">
                  <c:v>0</c:v>
                </c:pt>
                <c:pt idx="3">
                  <c:v>130845300.55999999</c:v>
                </c:pt>
                <c:pt idx="4">
                  <c:v>0</c:v>
                </c:pt>
                <c:pt idx="5">
                  <c:v>0</c:v>
                </c:pt>
                <c:pt idx="6">
                  <c:v>89797550.900000021</c:v>
                </c:pt>
                <c:pt idx="7">
                  <c:v>91221.91</c:v>
                </c:pt>
                <c:pt idx="8">
                  <c:v>377432080.77999997</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51590953.230000004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80820961.820000008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3" val="1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2438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137160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45720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129540</xdr:colOff>
          <xdr:row>37</xdr:row>
          <xdr:rowOff>114300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129540</xdr:colOff>
          <xdr:row>40</xdr:row>
          <xdr:rowOff>22860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129540</xdr:colOff>
          <xdr:row>45</xdr:row>
          <xdr:rowOff>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3.2" x14ac:dyDescent="0.25"/>
  <sheetData>
    <row r="1" spans="1:1" x14ac:dyDescent="0.25">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K4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6384" width="9.109375" style="25"/>
  </cols>
  <sheetData>
    <row r="1" spans="1:24" ht="13.8" x14ac:dyDescent="0.3">
      <c r="A1" s="1044" t="str">
        <f>muni&amp; " - "&amp;S71C&amp; " - "&amp;date</f>
        <v>KZN225 Msunduzi - Table C3 Consolidated Monthly Budget Statement - Financial Performance (revenue and expenditure by municipal vote)  - Q1 First Quarter</v>
      </c>
      <c r="B1" s="1044"/>
      <c r="C1" s="1044"/>
      <c r="D1" s="1044"/>
      <c r="E1" s="1044"/>
      <c r="F1" s="1044"/>
      <c r="G1" s="1044"/>
      <c r="H1" s="1044"/>
      <c r="I1" s="1044"/>
      <c r="J1" s="1044"/>
      <c r="K1" s="1044"/>
    </row>
    <row r="2" spans="1:24" x14ac:dyDescent="0.2">
      <c r="A2" s="20" t="str">
        <f>Vdesc</f>
        <v>Vote Description</v>
      </c>
      <c r="B2" s="1035" t="str">
        <f>head27</f>
        <v>Ref</v>
      </c>
      <c r="C2" s="142" t="str">
        <f>Head1</f>
        <v>2019/20</v>
      </c>
      <c r="D2" s="1037" t="str">
        <f>Head2</f>
        <v>Budget Year 2020/21</v>
      </c>
      <c r="E2" s="1038"/>
      <c r="F2" s="1038"/>
      <c r="G2" s="1038"/>
      <c r="H2" s="1038"/>
      <c r="I2" s="1038"/>
      <c r="J2" s="1038"/>
      <c r="K2" s="1039"/>
    </row>
    <row r="3" spans="1:24" ht="20.399999999999999" x14ac:dyDescent="0.2">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
      <c r="A6" s="407" t="str">
        <f>'Org structure'!A2</f>
        <v>Vote 1 - City Manager</v>
      </c>
      <c r="B6" s="169"/>
      <c r="C6" s="134">
        <f>'C3C'!C6</f>
        <v>0</v>
      </c>
      <c r="D6" s="46">
        <f>'C3C'!D6</f>
        <v>4447530.0133999996</v>
      </c>
      <c r="E6" s="44">
        <f>'C3C'!E6</f>
        <v>0</v>
      </c>
      <c r="F6" s="44">
        <f>'C3C'!F6</f>
        <v>0</v>
      </c>
      <c r="G6" s="44">
        <f>'C3C'!G6</f>
        <v>0</v>
      </c>
      <c r="H6" s="44">
        <f>'C3C'!H6</f>
        <v>1111882.5033499999</v>
      </c>
      <c r="I6" s="44">
        <f>G6-H6</f>
        <v>-1111882.5033499999</v>
      </c>
      <c r="J6" s="715">
        <f>IF(I6=0,"",I6/H6)</f>
        <v>-1</v>
      </c>
      <c r="K6" s="144">
        <f>'C3C'!K6</f>
        <v>4447530.0133999996</v>
      </c>
      <c r="L6" s="167"/>
      <c r="M6" s="167"/>
      <c r="N6" s="167"/>
      <c r="O6" s="167"/>
      <c r="P6" s="167"/>
      <c r="Q6" s="167"/>
      <c r="R6" s="167"/>
      <c r="S6" s="167"/>
      <c r="T6" s="167"/>
      <c r="U6" s="167"/>
      <c r="V6" s="167"/>
      <c r="W6" s="167"/>
      <c r="X6" s="67"/>
    </row>
    <row r="7" spans="1:24" ht="12.75" customHeight="1" x14ac:dyDescent="0.2">
      <c r="A7" s="407" t="str">
        <f>'Org structure'!A3</f>
        <v>Vote 2 - City Finance</v>
      </c>
      <c r="B7" s="169"/>
      <c r="C7" s="134">
        <f>'C3C'!C17</f>
        <v>0</v>
      </c>
      <c r="D7" s="46">
        <f>'C3C'!D17</f>
        <v>2396133945.7871332</v>
      </c>
      <c r="E7" s="44">
        <f>'C3C'!E17</f>
        <v>0</v>
      </c>
      <c r="F7" s="44">
        <f>'C3C'!F17</f>
        <v>111292194.96999998</v>
      </c>
      <c r="G7" s="44">
        <f>'C3C'!G17</f>
        <v>463768596.87</v>
      </c>
      <c r="H7" s="44">
        <f>'C3C'!H17</f>
        <v>599033486.4467833</v>
      </c>
      <c r="I7" s="44">
        <f t="shared" ref="I7:I20" si="0">G7-H7</f>
        <v>-135264889.5767833</v>
      </c>
      <c r="J7" s="715">
        <f t="shared" ref="J7:J21" si="1">IF(I7=0,"",I7/H7)</f>
        <v>-0.2258052223075511</v>
      </c>
      <c r="K7" s="144">
        <f>'C3C'!K17</f>
        <v>2396133945.7871332</v>
      </c>
      <c r="L7" s="167"/>
      <c r="M7" s="167"/>
      <c r="N7" s="167"/>
      <c r="O7" s="167"/>
      <c r="P7" s="167"/>
      <c r="Q7" s="167"/>
      <c r="R7" s="167"/>
      <c r="S7" s="167"/>
      <c r="T7" s="167"/>
      <c r="U7" s="167"/>
      <c r="V7" s="167"/>
      <c r="W7" s="167"/>
      <c r="X7" s="67"/>
    </row>
    <row r="8" spans="1:24" ht="12.75" customHeight="1" x14ac:dyDescent="0.2">
      <c r="A8" s="407" t="str">
        <f>'Org structure'!A4</f>
        <v>Vote 3 - Community Services and Social Equity</v>
      </c>
      <c r="B8" s="169"/>
      <c r="C8" s="134">
        <f>'C3C'!C28</f>
        <v>0</v>
      </c>
      <c r="D8" s="46">
        <f>'C3C'!D28</f>
        <v>214664344.29579172</v>
      </c>
      <c r="E8" s="44">
        <f>'C3C'!E28</f>
        <v>0</v>
      </c>
      <c r="F8" s="44">
        <f>'C3C'!F28</f>
        <v>15466557.029999997</v>
      </c>
      <c r="G8" s="44">
        <f>'C3C'!G28</f>
        <v>46309037.899999999</v>
      </c>
      <c r="H8" s="44">
        <f>'C3C'!H28</f>
        <v>53666086.073947929</v>
      </c>
      <c r="I8" s="44">
        <f t="shared" si="0"/>
        <v>-7357048.1739479303</v>
      </c>
      <c r="J8" s="715">
        <f t="shared" si="1"/>
        <v>-0.13708933727364536</v>
      </c>
      <c r="K8" s="144">
        <f>'C3C'!K28</f>
        <v>214664344.29579172</v>
      </c>
      <c r="L8" s="167"/>
      <c r="M8" s="167"/>
      <c r="N8" s="167"/>
      <c r="O8" s="167"/>
      <c r="P8" s="167"/>
      <c r="Q8" s="167"/>
      <c r="R8" s="167"/>
      <c r="S8" s="167"/>
      <c r="T8" s="167"/>
      <c r="U8" s="167"/>
      <c r="V8" s="167"/>
      <c r="W8" s="167"/>
      <c r="X8" s="67"/>
    </row>
    <row r="9" spans="1:24" ht="12.75" customHeight="1" x14ac:dyDescent="0.2">
      <c r="A9" s="407" t="str">
        <f>'Org structure'!A5</f>
        <v>Vote 4 - Corporate Services</v>
      </c>
      <c r="B9" s="169"/>
      <c r="C9" s="134">
        <f>'C3C'!C39</f>
        <v>0</v>
      </c>
      <c r="D9" s="46">
        <f>'C3C'!D39</f>
        <v>19239180.686499998</v>
      </c>
      <c r="E9" s="44">
        <f>'C3C'!E39</f>
        <v>0</v>
      </c>
      <c r="F9" s="44">
        <f>'C3C'!F39</f>
        <v>0</v>
      </c>
      <c r="G9" s="44">
        <f>'C3C'!G39</f>
        <v>396429.06</v>
      </c>
      <c r="H9" s="44">
        <f>'C3C'!H39</f>
        <v>4809795.1716249995</v>
      </c>
      <c r="I9" s="44">
        <f t="shared" si="0"/>
        <v>-4413366.1116249999</v>
      </c>
      <c r="J9" s="715">
        <f t="shared" si="1"/>
        <v>-0.91757880619559418</v>
      </c>
      <c r="K9" s="144">
        <f>'C3C'!K39</f>
        <v>19239180.686499998</v>
      </c>
      <c r="L9" s="167"/>
      <c r="M9" s="167"/>
      <c r="N9" s="167"/>
      <c r="O9" s="167"/>
      <c r="P9" s="167"/>
      <c r="Q9" s="167"/>
      <c r="R9" s="167"/>
      <c r="S9" s="167"/>
      <c r="T9" s="167"/>
      <c r="U9" s="167"/>
      <c r="V9" s="167"/>
      <c r="W9" s="167"/>
      <c r="X9" s="67"/>
    </row>
    <row r="10" spans="1:24" ht="12.75" customHeight="1" x14ac:dyDescent="0.2">
      <c r="A10" s="407" t="str">
        <f>'Org structure'!A6</f>
        <v>Vote 5 - Infrastructure Services</v>
      </c>
      <c r="B10" s="169"/>
      <c r="C10" s="134">
        <f>'C3C'!C50</f>
        <v>0</v>
      </c>
      <c r="D10" s="46">
        <f>'C3C'!D50</f>
        <v>3376346372.7014918</v>
      </c>
      <c r="E10" s="44">
        <f>'C3C'!E50</f>
        <v>0</v>
      </c>
      <c r="F10" s="44">
        <f>'C3C'!F50</f>
        <v>327140205.31999999</v>
      </c>
      <c r="G10" s="44">
        <f>'C3C'!G50</f>
        <v>1060968297.7400001</v>
      </c>
      <c r="H10" s="44">
        <f>'C3C'!H50</f>
        <v>844086593.17537296</v>
      </c>
      <c r="I10" s="44">
        <f t="shared" si="0"/>
        <v>216881704.56462717</v>
      </c>
      <c r="J10" s="715">
        <f t="shared" si="1"/>
        <v>0.25694248234501504</v>
      </c>
      <c r="K10" s="144">
        <f>'C3C'!K50</f>
        <v>3376346372.7014918</v>
      </c>
      <c r="L10" s="167"/>
      <c r="M10" s="167"/>
      <c r="N10" s="167"/>
      <c r="O10" s="167"/>
      <c r="P10" s="167"/>
      <c r="Q10" s="167"/>
      <c r="R10" s="167"/>
      <c r="S10" s="167"/>
      <c r="T10" s="167"/>
      <c r="U10" s="167"/>
      <c r="V10" s="167"/>
      <c r="W10" s="167"/>
      <c r="X10" s="67"/>
    </row>
    <row r="11" spans="1:24" ht="12.75" customHeight="1" x14ac:dyDescent="0.2">
      <c r="A11" s="407" t="str">
        <f>'Org structure'!A7</f>
        <v>Vote 6 - Sustainable Development and City Enterprises</v>
      </c>
      <c r="B11" s="169"/>
      <c r="C11" s="134">
        <f>'C3C'!C61</f>
        <v>0</v>
      </c>
      <c r="D11" s="46">
        <f>'C3C'!D61</f>
        <v>432870465.38774735</v>
      </c>
      <c r="E11" s="44">
        <f>'C3C'!E61</f>
        <v>0</v>
      </c>
      <c r="F11" s="44">
        <f>'C3C'!F61</f>
        <v>19526378.529999882</v>
      </c>
      <c r="G11" s="44">
        <f>'C3C'!G61</f>
        <v>32200475.799999747</v>
      </c>
      <c r="H11" s="44">
        <f>'C3C'!H61</f>
        <v>108217616.34693684</v>
      </c>
      <c r="I11" s="44">
        <f t="shared" si="0"/>
        <v>-76017140.546937093</v>
      </c>
      <c r="J11" s="715">
        <f t="shared" si="1"/>
        <v>-0.70244700551555628</v>
      </c>
      <c r="K11" s="144">
        <f>'C3C'!K61</f>
        <v>432870465.38774735</v>
      </c>
      <c r="L11" s="167"/>
      <c r="M11" s="167"/>
      <c r="N11" s="167"/>
      <c r="O11" s="167"/>
      <c r="P11" s="167"/>
      <c r="Q11" s="167"/>
      <c r="R11" s="167"/>
      <c r="S11" s="167"/>
      <c r="T11" s="167"/>
      <c r="U11" s="167"/>
      <c r="V11" s="167"/>
      <c r="W11" s="167"/>
      <c r="X11" s="67"/>
    </row>
    <row r="12" spans="1:24" ht="11.25" customHeight="1" x14ac:dyDescent="0.2">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
      <c r="A21" s="92" t="s">
        <v>635</v>
      </c>
      <c r="B21" s="233">
        <v>2</v>
      </c>
      <c r="C21" s="145">
        <f>SUM(C6:C20)</f>
        <v>0</v>
      </c>
      <c r="D21" s="74">
        <f t="shared" ref="D21:I21" si="2">SUM(D6:D20)</f>
        <v>6443701838.8720646</v>
      </c>
      <c r="E21" s="73">
        <f t="shared" si="2"/>
        <v>0</v>
      </c>
      <c r="F21" s="73">
        <f t="shared" si="2"/>
        <v>473425335.8499999</v>
      </c>
      <c r="G21" s="73">
        <f t="shared" si="2"/>
        <v>1603642837.3699999</v>
      </c>
      <c r="H21" s="73">
        <f t="shared" si="2"/>
        <v>1610925459.7180161</v>
      </c>
      <c r="I21" s="73">
        <f t="shared" si="2"/>
        <v>-7282622.3480161279</v>
      </c>
      <c r="J21" s="716">
        <f t="shared" si="1"/>
        <v>-4.5207692907720956E-3</v>
      </c>
      <c r="K21" s="145">
        <f>SUM(K6:K20)</f>
        <v>6443701838.8720646</v>
      </c>
      <c r="L21" s="59"/>
      <c r="M21" s="62"/>
      <c r="N21" s="62"/>
      <c r="O21" s="62"/>
      <c r="P21" s="62"/>
      <c r="Q21" s="62"/>
      <c r="R21" s="62"/>
      <c r="S21" s="62"/>
      <c r="T21" s="62"/>
      <c r="U21" s="62"/>
      <c r="V21" s="62"/>
      <c r="W21" s="62"/>
      <c r="X21" s="67"/>
    </row>
    <row r="22" spans="1:24" ht="5.0999999999999996" customHeight="1" x14ac:dyDescent="0.2">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
      <c r="A24" s="39" t="str">
        <f>'Org structure'!A2</f>
        <v>Vote 1 - City Manager</v>
      </c>
      <c r="B24" s="169"/>
      <c r="C24" s="134">
        <f>'C3C'!C174</f>
        <v>0</v>
      </c>
      <c r="D24" s="46">
        <f>'C3C'!D174</f>
        <v>181805355.87582266</v>
      </c>
      <c r="E24" s="44">
        <f>'C3C'!E174</f>
        <v>0</v>
      </c>
      <c r="F24" s="44">
        <f>'C3C'!F174</f>
        <v>17946778.490000002</v>
      </c>
      <c r="G24" s="44">
        <f>'C3C'!G174</f>
        <v>36471335.539999992</v>
      </c>
      <c r="H24" s="44">
        <f>'C3C'!H174</f>
        <v>45451338.968955666</v>
      </c>
      <c r="I24" s="44">
        <f t="shared" ref="I24:I38" si="3">G24-H24</f>
        <v>-8980003.4289556742</v>
      </c>
      <c r="J24" s="715">
        <f t="shared" ref="J24:J29" si="4">IF(I24=0,"",I24/H24)</f>
        <v>-0.19757401283797663</v>
      </c>
      <c r="K24" s="144">
        <f>'C3C'!K174</f>
        <v>181805355.87582266</v>
      </c>
      <c r="L24" s="97"/>
      <c r="M24" s="84"/>
      <c r="N24" s="84"/>
      <c r="O24" s="84"/>
      <c r="P24" s="84"/>
      <c r="Q24" s="84"/>
      <c r="R24" s="84"/>
      <c r="S24" s="84"/>
      <c r="T24" s="84"/>
      <c r="U24" s="84"/>
      <c r="V24" s="84"/>
      <c r="W24" s="84"/>
      <c r="X24" s="67"/>
    </row>
    <row r="25" spans="1:24" ht="12.75" customHeight="1" x14ac:dyDescent="0.2">
      <c r="A25" s="39" t="str">
        <f>'Org structure'!A3</f>
        <v>Vote 2 - City Finance</v>
      </c>
      <c r="B25" s="169"/>
      <c r="C25" s="134">
        <f>'C3C'!C185</f>
        <v>0</v>
      </c>
      <c r="D25" s="46">
        <f>'C3C'!D185</f>
        <v>700877661.2400291</v>
      </c>
      <c r="E25" s="44">
        <f>'C3C'!E185</f>
        <v>0</v>
      </c>
      <c r="F25" s="44">
        <f>'C3C'!F185</f>
        <v>26071701.299999997</v>
      </c>
      <c r="G25" s="44">
        <f>'C3C'!G185</f>
        <v>64085525.909999996</v>
      </c>
      <c r="H25" s="44">
        <f>'C3C'!H185</f>
        <v>175219415.31000727</v>
      </c>
      <c r="I25" s="44">
        <f t="shared" si="3"/>
        <v>-111133889.40000728</v>
      </c>
      <c r="J25" s="715">
        <f t="shared" si="4"/>
        <v>-0.63425556581948095</v>
      </c>
      <c r="K25" s="144">
        <f>'C3C'!K185</f>
        <v>700877661.2400291</v>
      </c>
      <c r="L25" s="97"/>
      <c r="M25" s="97"/>
      <c r="N25" s="97"/>
      <c r="O25" s="97"/>
      <c r="P25" s="97"/>
      <c r="Q25" s="97"/>
      <c r="R25" s="97"/>
      <c r="S25" s="97"/>
      <c r="T25" s="97"/>
      <c r="U25" s="97"/>
      <c r="V25" s="97"/>
      <c r="W25" s="97"/>
      <c r="X25" s="67"/>
    </row>
    <row r="26" spans="1:24" ht="12.75" customHeight="1" x14ac:dyDescent="0.2">
      <c r="A26" s="39" t="str">
        <f>'Org structure'!A4</f>
        <v>Vote 3 - Community Services and Social Equity</v>
      </c>
      <c r="B26" s="169"/>
      <c r="C26" s="134">
        <f>'C3C'!C196</f>
        <v>0</v>
      </c>
      <c r="D26" s="46">
        <f>'C3C'!D196</f>
        <v>743751614.16259539</v>
      </c>
      <c r="E26" s="44">
        <f>'C3C'!E196</f>
        <v>0</v>
      </c>
      <c r="F26" s="44">
        <f>'C3C'!F196</f>
        <v>60305925.700000025</v>
      </c>
      <c r="G26" s="44">
        <f>'C3C'!G196</f>
        <v>174991283.8199999</v>
      </c>
      <c r="H26" s="44">
        <f>'C3C'!H196</f>
        <v>185937903.54064885</v>
      </c>
      <c r="I26" s="44">
        <f t="shared" si="3"/>
        <v>-10946619.720648944</v>
      </c>
      <c r="J26" s="715">
        <f t="shared" si="4"/>
        <v>-5.8872448877836506E-2</v>
      </c>
      <c r="K26" s="144">
        <f>'C3C'!K196</f>
        <v>743751614.16259539</v>
      </c>
      <c r="L26" s="97"/>
      <c r="M26" s="97"/>
      <c r="N26" s="97"/>
      <c r="O26" s="97"/>
      <c r="P26" s="97"/>
      <c r="Q26" s="97"/>
      <c r="R26" s="97"/>
      <c r="S26" s="97"/>
      <c r="T26" s="97"/>
      <c r="U26" s="97"/>
      <c r="V26" s="97"/>
      <c r="W26" s="97"/>
      <c r="X26" s="67"/>
    </row>
    <row r="27" spans="1:24" ht="12.75" customHeight="1" x14ac:dyDescent="0.2">
      <c r="A27" s="39" t="str">
        <f>'Org structure'!A5</f>
        <v>Vote 4 - Corporate Services</v>
      </c>
      <c r="B27" s="169"/>
      <c r="C27" s="134">
        <f>'C3C'!C207</f>
        <v>0</v>
      </c>
      <c r="D27" s="46">
        <f>'C3C'!D207</f>
        <v>200548950.39124021</v>
      </c>
      <c r="E27" s="44">
        <f>'C3C'!E207</f>
        <v>0</v>
      </c>
      <c r="F27" s="44">
        <f>'C3C'!F207</f>
        <v>9442595.0699999966</v>
      </c>
      <c r="G27" s="44">
        <f>'C3C'!G207</f>
        <v>28869997.650000006</v>
      </c>
      <c r="H27" s="44">
        <f>'C3C'!H207</f>
        <v>50137237.597810052</v>
      </c>
      <c r="I27" s="44">
        <f t="shared" si="3"/>
        <v>-21267239.947810046</v>
      </c>
      <c r="J27" s="715">
        <f t="shared" si="4"/>
        <v>-0.42418052862048744</v>
      </c>
      <c r="K27" s="144">
        <f>'C3C'!K207</f>
        <v>200548950.39124021</v>
      </c>
      <c r="L27" s="97"/>
      <c r="M27" s="97"/>
      <c r="N27" s="97"/>
      <c r="O27" s="97"/>
      <c r="P27" s="97"/>
      <c r="Q27" s="97"/>
      <c r="R27" s="97"/>
      <c r="S27" s="97"/>
      <c r="T27" s="97"/>
      <c r="U27" s="97"/>
      <c r="V27" s="97"/>
      <c r="W27" s="97"/>
      <c r="X27" s="67"/>
    </row>
    <row r="28" spans="1:24" ht="12.75" customHeight="1" x14ac:dyDescent="0.2">
      <c r="A28" s="39" t="str">
        <f>'Org structure'!A6</f>
        <v>Vote 5 - Infrastructure Services</v>
      </c>
      <c r="B28" s="169"/>
      <c r="C28" s="134">
        <f>'C3C'!C218</f>
        <v>0</v>
      </c>
      <c r="D28" s="46">
        <f>'C3C'!D218</f>
        <v>3393288719.277081</v>
      </c>
      <c r="E28" s="44">
        <f>'C3C'!E218</f>
        <v>0</v>
      </c>
      <c r="F28" s="44">
        <f>'C3C'!F218</f>
        <v>603661675.8599999</v>
      </c>
      <c r="G28" s="44">
        <f>'C3C'!G218</f>
        <v>1104833146.7299995</v>
      </c>
      <c r="H28" s="44">
        <f>'C3C'!H218</f>
        <v>848322179.81927025</v>
      </c>
      <c r="I28" s="44">
        <f t="shared" si="3"/>
        <v>256510966.91072929</v>
      </c>
      <c r="J28" s="715">
        <f t="shared" si="4"/>
        <v>0.302374466933515</v>
      </c>
      <c r="K28" s="144">
        <f>'C3C'!K218</f>
        <v>3393288719.277081</v>
      </c>
      <c r="L28" s="97"/>
      <c r="M28" s="97"/>
      <c r="N28" s="97"/>
      <c r="O28" s="97"/>
      <c r="P28" s="97"/>
      <c r="Q28" s="97"/>
      <c r="R28" s="97"/>
      <c r="S28" s="97"/>
      <c r="T28" s="97"/>
      <c r="U28" s="97"/>
      <c r="V28" s="97"/>
      <c r="W28" s="97"/>
      <c r="X28" s="67"/>
    </row>
    <row r="29" spans="1:24" ht="12.75" customHeight="1" x14ac:dyDescent="0.2">
      <c r="A29" s="39" t="str">
        <f>'Org structure'!A7</f>
        <v>Vote 6 - Sustainable Development and City Enterprises</v>
      </c>
      <c r="B29" s="169"/>
      <c r="C29" s="134">
        <f>'C3C'!C229</f>
        <v>0</v>
      </c>
      <c r="D29" s="46">
        <f>'C3C'!D229</f>
        <v>296205168.59786338</v>
      </c>
      <c r="E29" s="44">
        <f>'C3C'!E229</f>
        <v>0</v>
      </c>
      <c r="F29" s="44">
        <f>'C3C'!F229</f>
        <v>21248733.289999988</v>
      </c>
      <c r="G29" s="44">
        <f>'C3C'!G229</f>
        <v>49050019.450000152</v>
      </c>
      <c r="H29" s="44">
        <f>'C3C'!H229</f>
        <v>74051292.149465844</v>
      </c>
      <c r="I29" s="44">
        <f t="shared" si="3"/>
        <v>-25001272.699465692</v>
      </c>
      <c r="J29" s="715">
        <f t="shared" si="4"/>
        <v>-0.33762101880684109</v>
      </c>
      <c r="K29" s="144">
        <f>'C3C'!K229</f>
        <v>296205168.59786338</v>
      </c>
      <c r="L29" s="97"/>
      <c r="M29" s="97"/>
      <c r="N29" s="97"/>
      <c r="O29" s="97"/>
      <c r="P29" s="97"/>
      <c r="Q29" s="97"/>
      <c r="R29" s="97"/>
      <c r="S29" s="97"/>
      <c r="T29" s="97"/>
      <c r="U29" s="97"/>
      <c r="V29" s="97"/>
      <c r="W29" s="97"/>
      <c r="X29" s="67"/>
    </row>
    <row r="30" spans="1:24" ht="11.25" customHeight="1" x14ac:dyDescent="0.2">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
      <c r="A39" s="92" t="s">
        <v>634</v>
      </c>
      <c r="B39" s="233">
        <v>2</v>
      </c>
      <c r="C39" s="516">
        <f>SUM(C24:C38)</f>
        <v>0</v>
      </c>
      <c r="D39" s="475">
        <f t="shared" ref="D39:I39" si="6">SUM(D24:D38)</f>
        <v>5516477469.544631</v>
      </c>
      <c r="E39" s="430">
        <f t="shared" si="6"/>
        <v>0</v>
      </c>
      <c r="F39" s="430">
        <f t="shared" si="6"/>
        <v>738677409.70999992</v>
      </c>
      <c r="G39" s="430">
        <f t="shared" si="6"/>
        <v>1458301309.0999994</v>
      </c>
      <c r="H39" s="430">
        <f t="shared" si="6"/>
        <v>1379119367.3861578</v>
      </c>
      <c r="I39" s="430">
        <f t="shared" si="6"/>
        <v>79181941.713841647</v>
      </c>
      <c r="J39" s="718">
        <f>IF(I39=0,"",I39/H39)</f>
        <v>5.741485732588545E-2</v>
      </c>
      <c r="K39" s="513">
        <f>SUM(K24:K38)</f>
        <v>5516477469.544631</v>
      </c>
      <c r="L39" s="59"/>
      <c r="M39" s="62"/>
      <c r="N39" s="62"/>
      <c r="O39" s="62"/>
      <c r="P39" s="62"/>
      <c r="Q39" s="62"/>
      <c r="R39" s="62"/>
      <c r="S39" s="62"/>
      <c r="T39" s="62"/>
      <c r="U39" s="62"/>
      <c r="V39" s="62"/>
      <c r="W39" s="62"/>
      <c r="X39" s="67"/>
    </row>
    <row r="40" spans="1:24" ht="12.75" customHeight="1" x14ac:dyDescent="0.2">
      <c r="A40" s="53" t="str">
        <f>result</f>
        <v>Surplus/ (Deficit) for the year</v>
      </c>
      <c r="B40" s="236">
        <v>2</v>
      </c>
      <c r="C40" s="235">
        <f t="shared" ref="C40:H40" si="7">C21-C39</f>
        <v>0</v>
      </c>
      <c r="D40" s="56">
        <f t="shared" si="7"/>
        <v>927224369.32743359</v>
      </c>
      <c r="E40" s="55">
        <f t="shared" si="7"/>
        <v>0</v>
      </c>
      <c r="F40" s="55">
        <f t="shared" si="7"/>
        <v>-265252073.86000001</v>
      </c>
      <c r="G40" s="55">
        <f t="shared" si="7"/>
        <v>145341528.27000046</v>
      </c>
      <c r="H40" s="55">
        <f t="shared" si="7"/>
        <v>231806092.3318584</v>
      </c>
      <c r="I40" s="55">
        <f>I21-I39</f>
        <v>-86464564.061857775</v>
      </c>
      <c r="J40" s="719">
        <f>IF(I40=0,"",I40/H40)</f>
        <v>-0.37300384641346407</v>
      </c>
      <c r="K40" s="235">
        <f>K21-K39</f>
        <v>927224369.32743359</v>
      </c>
      <c r="L40" s="62"/>
      <c r="M40" s="62"/>
      <c r="N40" s="62"/>
      <c r="O40" s="62"/>
      <c r="P40" s="62"/>
      <c r="Q40" s="62"/>
      <c r="R40" s="62"/>
      <c r="S40" s="62"/>
      <c r="T40" s="62"/>
      <c r="U40" s="62"/>
      <c r="V40" s="62"/>
      <c r="W40" s="62"/>
      <c r="X40" s="67"/>
    </row>
    <row r="41" spans="1:24" ht="11.25" customHeight="1" x14ac:dyDescent="0.2">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
      <c r="A45" s="67"/>
      <c r="L45" s="67"/>
      <c r="M45" s="67"/>
      <c r="N45" s="67"/>
      <c r="O45" s="67"/>
      <c r="P45" s="67"/>
      <c r="Q45" s="67"/>
      <c r="R45" s="67"/>
      <c r="S45" s="67"/>
      <c r="T45" s="67"/>
      <c r="U45" s="67"/>
      <c r="V45" s="67"/>
      <c r="W45" s="67"/>
      <c r="X45" s="67"/>
    </row>
    <row r="46" spans="1:24" ht="11.25" customHeight="1" x14ac:dyDescent="0.2">
      <c r="A46" s="65"/>
      <c r="B46" s="694"/>
      <c r="C46" s="689"/>
      <c r="D46" s="689"/>
      <c r="E46" s="689"/>
      <c r="F46" s="689"/>
      <c r="G46" s="689"/>
      <c r="H46" s="689"/>
      <c r="I46" s="689"/>
      <c r="J46" s="689"/>
      <c r="K46" s="689"/>
    </row>
    <row r="47" spans="1:24" ht="11.25" customHeight="1" x14ac:dyDescent="0.2">
      <c r="A47" s="65"/>
      <c r="B47" s="694"/>
      <c r="C47" s="689"/>
      <c r="D47" s="689"/>
      <c r="E47" s="689"/>
      <c r="F47" s="689"/>
      <c r="G47" s="689"/>
      <c r="H47" s="689"/>
      <c r="I47" s="689"/>
      <c r="J47" s="689"/>
      <c r="K47" s="689"/>
    </row>
    <row r="48" spans="1:24" ht="11.25" customHeight="1" x14ac:dyDescent="0.2">
      <c r="A48" s="67"/>
    </row>
    <row r="49" spans="1:1" ht="11.25" customHeight="1" x14ac:dyDescent="0.2">
      <c r="A49" s="67"/>
    </row>
    <row r="50" spans="1:1" ht="11.25" customHeight="1" x14ac:dyDescent="0.2">
      <c r="A50" s="67"/>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09" activePane="bottomRight" state="frozen"/>
      <selection pane="topRight"/>
      <selection pane="bottomLeft"/>
      <selection pane="bottomRight" activeCell="F230" sqref="F230:G230"/>
    </sheetView>
  </sheetViews>
  <sheetFormatPr defaultColWidth="9.109375" defaultRowHeight="10.199999999999999" x14ac:dyDescent="0.2"/>
  <cols>
    <col min="1" max="1" width="30.6640625" style="25" customWidth="1"/>
    <col min="2" max="2" width="3" style="494" customWidth="1"/>
    <col min="3" max="11" width="9.33203125" style="25" customWidth="1"/>
    <col min="12" max="23" width="0" style="25" hidden="1" customWidth="1"/>
    <col min="24" max="16384" width="9.109375" style="25"/>
  </cols>
  <sheetData>
    <row r="1" spans="1:23" s="434" customFormat="1" ht="13.8" x14ac:dyDescent="0.3">
      <c r="A1" s="433" t="str">
        <f>muni&amp; " - "&amp;S71C&amp; " - "&amp;"A"&amp; " - "&amp;date</f>
        <v>KZN225 Msunduzi - Table C3 Consolidated Monthly Budget Statement - Financial Performance (revenue and expenditure by municipal vote)  - A - Q1 First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466" t="str">
        <f>'Org structure'!A2</f>
        <v>Vote 1 - City Manager</v>
      </c>
      <c r="B6" s="440"/>
      <c r="C6" s="503">
        <f>SUM(C7:C16)</f>
        <v>0</v>
      </c>
      <c r="D6" s="444">
        <f t="shared" ref="D6:K6" si="0">SUM(D7:D16)</f>
        <v>4447530.0133999996</v>
      </c>
      <c r="E6" s="441">
        <f t="shared" si="0"/>
        <v>0</v>
      </c>
      <c r="F6" s="443">
        <f t="shared" si="0"/>
        <v>0</v>
      </c>
      <c r="G6" s="441">
        <f t="shared" si="0"/>
        <v>0</v>
      </c>
      <c r="H6" s="443">
        <f t="shared" si="0"/>
        <v>1111882.5033499999</v>
      </c>
      <c r="I6" s="44">
        <f t="shared" ref="I6:I69" si="1">G6-H6</f>
        <v>-1111882.5033499999</v>
      </c>
      <c r="J6" s="330">
        <f t="shared" ref="J6:J69" si="2">IF(I6=0,"",I6/H6)</f>
        <v>-1</v>
      </c>
      <c r="K6" s="442">
        <f t="shared" si="0"/>
        <v>4447530.0133999996</v>
      </c>
      <c r="L6" s="424"/>
      <c r="M6" s="38"/>
      <c r="N6" s="38"/>
      <c r="O6" s="38"/>
      <c r="P6" s="38"/>
      <c r="Q6" s="38"/>
      <c r="R6" s="38"/>
      <c r="S6" s="38"/>
      <c r="T6" s="38"/>
      <c r="U6" s="38"/>
      <c r="V6" s="38"/>
      <c r="W6" s="38"/>
    </row>
    <row r="7" spans="1:23" ht="11.25" customHeight="1" x14ac:dyDescent="0.2">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
      <c r="A8" s="407" t="str">
        <f>'Org structure'!E4</f>
        <v>1.2 - Office of the City Manager</v>
      </c>
      <c r="B8" s="445"/>
      <c r="C8" s="739"/>
      <c r="D8" s="740">
        <v>4447530.0133999996</v>
      </c>
      <c r="E8" s="741"/>
      <c r="F8" s="742"/>
      <c r="G8" s="741"/>
      <c r="H8" s="742">
        <f>D8/12*3</f>
        <v>1111882.5033499999</v>
      </c>
      <c r="I8" s="44">
        <f t="shared" si="1"/>
        <v>-1111882.5033499999</v>
      </c>
      <c r="J8" s="330">
        <f t="shared" si="2"/>
        <v>-1</v>
      </c>
      <c r="K8" s="743">
        <f>D8</f>
        <v>4447530.0133999996</v>
      </c>
      <c r="L8" s="424"/>
      <c r="M8" s="38"/>
      <c r="N8" s="38"/>
      <c r="O8" s="38"/>
      <c r="P8" s="38"/>
      <c r="Q8" s="38"/>
      <c r="R8" s="38"/>
      <c r="S8" s="38"/>
      <c r="T8" s="38"/>
      <c r="U8" s="38"/>
      <c r="V8" s="38"/>
      <c r="W8" s="38"/>
    </row>
    <row r="9" spans="1:23" ht="11.25" customHeight="1" x14ac:dyDescent="0.2">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66" t="str">
        <f>'Org structure'!A3</f>
        <v>Vote 2 - City Finance</v>
      </c>
      <c r="B17" s="440"/>
      <c r="C17" s="503">
        <f>SUM(C18:C27)</f>
        <v>0</v>
      </c>
      <c r="D17" s="444">
        <f t="shared" ref="D17:K17" si="3">SUM(D18:D27)</f>
        <v>2396133945.7871332</v>
      </c>
      <c r="E17" s="441">
        <f t="shared" si="3"/>
        <v>0</v>
      </c>
      <c r="F17" s="443">
        <f t="shared" si="3"/>
        <v>111292194.96999998</v>
      </c>
      <c r="G17" s="441">
        <f t="shared" si="3"/>
        <v>463768596.87</v>
      </c>
      <c r="H17" s="443">
        <f t="shared" si="3"/>
        <v>599033486.4467833</v>
      </c>
      <c r="I17" s="44">
        <f t="shared" si="1"/>
        <v>-135264889.5767833</v>
      </c>
      <c r="J17" s="330">
        <f t="shared" si="2"/>
        <v>-0.2258052223075511</v>
      </c>
      <c r="K17" s="442">
        <f t="shared" si="3"/>
        <v>2396133945.7871332</v>
      </c>
      <c r="L17" s="424"/>
      <c r="M17" s="38"/>
      <c r="N17" s="38"/>
      <c r="O17" s="38"/>
      <c r="P17" s="38"/>
      <c r="Q17" s="38"/>
      <c r="R17" s="38"/>
      <c r="S17" s="38"/>
      <c r="T17" s="38"/>
      <c r="U17" s="38"/>
      <c r="V17" s="38"/>
      <c r="W17" s="38"/>
    </row>
    <row r="18" spans="1:23" ht="11.25" customHeight="1" x14ac:dyDescent="0.2">
      <c r="A18" s="407" t="str">
        <f>'Org structure'!E14</f>
        <v>2.1 - Asset Management</v>
      </c>
      <c r="B18" s="445"/>
      <c r="C18" s="739"/>
      <c r="D18" s="740"/>
      <c r="E18" s="741"/>
      <c r="F18" s="742">
        <v>676656.47000000009</v>
      </c>
      <c r="G18" s="741">
        <v>-4146228.0399999996</v>
      </c>
      <c r="H18" s="742"/>
      <c r="I18" s="44">
        <f t="shared" si="1"/>
        <v>-4146228.0399999996</v>
      </c>
      <c r="J18" s="330" t="e">
        <f t="shared" si="2"/>
        <v>#DIV/0!</v>
      </c>
      <c r="K18" s="743"/>
      <c r="L18" s="424"/>
      <c r="M18" s="38"/>
      <c r="N18" s="38"/>
      <c r="O18" s="38"/>
      <c r="P18" s="38"/>
      <c r="Q18" s="38"/>
      <c r="R18" s="38"/>
      <c r="S18" s="38"/>
      <c r="T18" s="38"/>
      <c r="U18" s="38"/>
      <c r="V18" s="38"/>
      <c r="W18" s="38"/>
    </row>
    <row r="19" spans="1:23" ht="11.25" customHeight="1" x14ac:dyDescent="0.2">
      <c r="A19" s="407" t="str">
        <f>'Org structure'!E15</f>
        <v>2.2 - Budget and Treasury Management</v>
      </c>
      <c r="B19" s="445"/>
      <c r="C19" s="739"/>
      <c r="D19" s="740">
        <v>518591000.00000095</v>
      </c>
      <c r="E19" s="741"/>
      <c r="F19" s="742">
        <v>1069714.75</v>
      </c>
      <c r="G19" s="741">
        <v>149618508.53999999</v>
      </c>
      <c r="H19" s="742">
        <f>D19/12*3</f>
        <v>129647750.00000024</v>
      </c>
      <c r="I19" s="44">
        <f t="shared" si="1"/>
        <v>19970758.539999753</v>
      </c>
      <c r="J19" s="330">
        <f t="shared" si="2"/>
        <v>0.15403860491215401</v>
      </c>
      <c r="K19" s="743">
        <f>D19</f>
        <v>518591000.00000095</v>
      </c>
      <c r="L19" s="424"/>
      <c r="M19" s="38"/>
      <c r="N19" s="38"/>
      <c r="O19" s="38"/>
      <c r="P19" s="38"/>
      <c r="Q19" s="38"/>
      <c r="R19" s="38"/>
      <c r="S19" s="38"/>
      <c r="T19" s="38"/>
      <c r="U19" s="38"/>
      <c r="V19" s="38"/>
      <c r="W19" s="38"/>
    </row>
    <row r="20" spans="1:23" ht="11.25" customHeight="1" x14ac:dyDescent="0.2">
      <c r="A20" s="407" t="str">
        <f>'Org structure'!E16</f>
        <v>2.3 - Expenditure Management</v>
      </c>
      <c r="B20" s="445"/>
      <c r="C20" s="739"/>
      <c r="D20" s="740"/>
      <c r="E20" s="741"/>
      <c r="F20" s="742">
        <v>0</v>
      </c>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
      <c r="A21" s="407" t="str">
        <f>'Org structure'!E17</f>
        <v>2.4 - Revenue Management</v>
      </c>
      <c r="B21" s="445"/>
      <c r="C21" s="739"/>
      <c r="D21" s="740">
        <v>1877542945.7871323</v>
      </c>
      <c r="E21" s="741"/>
      <c r="F21" s="742">
        <v>109527499.90999998</v>
      </c>
      <c r="G21" s="741">
        <v>318272598.35000002</v>
      </c>
      <c r="H21" s="742">
        <f>D21/12*3</f>
        <v>469385736.44678307</v>
      </c>
      <c r="I21" s="44">
        <f t="shared" si="1"/>
        <v>-151113138.09678304</v>
      </c>
      <c r="J21" s="330">
        <f t="shared" si="2"/>
        <v>-0.32193807004170777</v>
      </c>
      <c r="K21" s="743">
        <f>D21</f>
        <v>1877542945.7871323</v>
      </c>
      <c r="L21" s="424"/>
      <c r="M21" s="38"/>
      <c r="N21" s="38"/>
      <c r="O21" s="38"/>
      <c r="P21" s="38"/>
      <c r="Q21" s="38"/>
      <c r="R21" s="38"/>
      <c r="S21" s="38"/>
      <c r="T21" s="38"/>
      <c r="U21" s="38"/>
      <c r="V21" s="38"/>
      <c r="W21" s="38"/>
    </row>
    <row r="22" spans="1:23" ht="11.25" customHeight="1" x14ac:dyDescent="0.2">
      <c r="A22" s="407" t="str">
        <f>'Org structure'!E18</f>
        <v>2.5 - Supply Chain Management</v>
      </c>
      <c r="B22" s="445"/>
      <c r="C22" s="739"/>
      <c r="D22" s="740"/>
      <c r="E22" s="741"/>
      <c r="F22" s="742">
        <v>18323.84</v>
      </c>
      <c r="G22" s="741">
        <v>23718.02</v>
      </c>
      <c r="H22" s="742"/>
      <c r="I22" s="44">
        <f t="shared" si="1"/>
        <v>23718.02</v>
      </c>
      <c r="J22" s="330" t="e">
        <f t="shared" si="2"/>
        <v>#DIV/0!</v>
      </c>
      <c r="K22" s="743"/>
      <c r="L22" s="424"/>
      <c r="M22" s="38"/>
      <c r="N22" s="38"/>
      <c r="O22" s="38"/>
      <c r="P22" s="38"/>
      <c r="Q22" s="38"/>
      <c r="R22" s="38"/>
      <c r="S22" s="38"/>
      <c r="T22" s="38"/>
      <c r="U22" s="38"/>
      <c r="V22" s="38"/>
      <c r="W22" s="38"/>
    </row>
    <row r="23" spans="1:23" ht="11.25" hidden="1" customHeight="1" x14ac:dyDescent="0.2">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
      <c r="A28" s="466" t="str">
        <f>'Org structure'!A4</f>
        <v>Vote 3 - Community Services and Social Equity</v>
      </c>
      <c r="B28" s="440"/>
      <c r="C28" s="503">
        <f t="shared" ref="C28:K28" si="4">SUM(C29:C38)</f>
        <v>0</v>
      </c>
      <c r="D28" s="444">
        <f t="shared" si="4"/>
        <v>214664344.29579172</v>
      </c>
      <c r="E28" s="441">
        <f t="shared" si="4"/>
        <v>0</v>
      </c>
      <c r="F28" s="443">
        <f t="shared" si="4"/>
        <v>15466557.029999997</v>
      </c>
      <c r="G28" s="441">
        <f t="shared" si="4"/>
        <v>46309037.899999999</v>
      </c>
      <c r="H28" s="443">
        <f t="shared" si="4"/>
        <v>53666086.073947929</v>
      </c>
      <c r="I28" s="44">
        <f t="shared" si="1"/>
        <v>-7357048.1739479303</v>
      </c>
      <c r="J28" s="330">
        <f t="shared" si="2"/>
        <v>-0.13708933727364536</v>
      </c>
      <c r="K28" s="442">
        <f t="shared" si="4"/>
        <v>214664344.29579172</v>
      </c>
      <c r="L28" s="424"/>
      <c r="M28" s="38"/>
      <c r="N28" s="38"/>
      <c r="O28" s="38"/>
      <c r="P28" s="38"/>
      <c r="Q28" s="38"/>
      <c r="R28" s="38"/>
      <c r="S28" s="38"/>
      <c r="T28" s="38"/>
      <c r="U28" s="38"/>
      <c r="V28" s="38"/>
      <c r="W28" s="38"/>
    </row>
    <row r="29" spans="1:23" ht="11.25" customHeight="1" x14ac:dyDescent="0.2">
      <c r="A29" s="407" t="str">
        <f>'Org structure'!E25</f>
        <v xml:space="preserve">3.1 - Area Based Management </v>
      </c>
      <c r="B29" s="445"/>
      <c r="C29" s="739"/>
      <c r="D29" s="740">
        <v>3523188.2817999995</v>
      </c>
      <c r="E29" s="741"/>
      <c r="F29" s="742">
        <v>6463.16</v>
      </c>
      <c r="G29" s="741">
        <v>8213.33</v>
      </c>
      <c r="H29" s="741">
        <f t="shared" ref="H29:H32" si="5">D29/12*3</f>
        <v>880797.07044999988</v>
      </c>
      <c r="I29" s="258">
        <f t="shared" si="1"/>
        <v>-872583.74044999992</v>
      </c>
      <c r="J29" s="330">
        <f t="shared" si="2"/>
        <v>-0.99067511657843754</v>
      </c>
      <c r="K29" s="743">
        <f>D29</f>
        <v>3523188.2817999995</v>
      </c>
      <c r="L29" s="424"/>
      <c r="M29" s="38"/>
      <c r="N29" s="38"/>
      <c r="O29" s="38"/>
      <c r="P29" s="38"/>
      <c r="Q29" s="38"/>
      <c r="R29" s="38"/>
      <c r="S29" s="38"/>
      <c r="T29" s="38"/>
      <c r="U29" s="38"/>
      <c r="V29" s="38"/>
      <c r="W29" s="38"/>
    </row>
    <row r="30" spans="1:23" ht="11.25" customHeight="1" x14ac:dyDescent="0.2">
      <c r="A30" s="407" t="str">
        <f>'Org structure'!E26</f>
        <v>3.2 - Public Safety, Emergency Services and Enforcement</v>
      </c>
      <c r="B30" s="445"/>
      <c r="C30" s="739"/>
      <c r="D30" s="740">
        <v>4814533.8647999996</v>
      </c>
      <c r="E30" s="741"/>
      <c r="F30" s="742">
        <v>97423.69</v>
      </c>
      <c r="G30" s="741">
        <v>360275.26999999996</v>
      </c>
      <c r="H30" s="742">
        <f t="shared" si="5"/>
        <v>1203633.4661999999</v>
      </c>
      <c r="I30" s="44">
        <f t="shared" si="1"/>
        <v>-843358.19619999989</v>
      </c>
      <c r="J30" s="330">
        <f t="shared" si="2"/>
        <v>-0.70067692522921643</v>
      </c>
      <c r="K30" s="743">
        <f>D30</f>
        <v>4814533.8647999996</v>
      </c>
      <c r="L30" s="424"/>
      <c r="M30" s="38"/>
      <c r="N30" s="38"/>
      <c r="O30" s="38"/>
      <c r="P30" s="38"/>
      <c r="Q30" s="38"/>
      <c r="R30" s="38"/>
      <c r="S30" s="38"/>
      <c r="T30" s="38"/>
      <c r="U30" s="38"/>
      <c r="V30" s="38"/>
      <c r="W30" s="38"/>
    </row>
    <row r="31" spans="1:23" ht="11.25" customHeight="1" x14ac:dyDescent="0.2">
      <c r="A31" s="407" t="str">
        <f>'Org structure'!E27</f>
        <v>3.3 - Recreation and Facilities</v>
      </c>
      <c r="B31" s="445"/>
      <c r="C31" s="739"/>
      <c r="D31" s="740">
        <v>21976054.78726843</v>
      </c>
      <c r="E31" s="741"/>
      <c r="F31" s="742">
        <v>5946933.9099999992</v>
      </c>
      <c r="G31" s="741">
        <v>6892048.8399999999</v>
      </c>
      <c r="H31" s="742">
        <f t="shared" si="5"/>
        <v>5494013.6968171075</v>
      </c>
      <c r="I31" s="44">
        <f t="shared" si="1"/>
        <v>1398035.1431828924</v>
      </c>
      <c r="J31" s="330">
        <f t="shared" si="2"/>
        <v>0.25446517251910522</v>
      </c>
      <c r="K31" s="743">
        <f>D31</f>
        <v>21976054.78726843</v>
      </c>
      <c r="L31" s="424"/>
      <c r="M31" s="38"/>
      <c r="N31" s="38"/>
      <c r="O31" s="38"/>
      <c r="P31" s="38"/>
      <c r="Q31" s="38"/>
      <c r="R31" s="38"/>
      <c r="S31" s="38"/>
      <c r="T31" s="38"/>
      <c r="U31" s="38"/>
      <c r="V31" s="38"/>
      <c r="W31" s="38"/>
    </row>
    <row r="32" spans="1:23" ht="11.25" customHeight="1" x14ac:dyDescent="0.2">
      <c r="A32" s="407" t="str">
        <f>'Org structure'!E28</f>
        <v>3.4 - Waste Management</v>
      </c>
      <c r="B32" s="445"/>
      <c r="C32" s="739"/>
      <c r="D32" s="740">
        <v>184350567.36192328</v>
      </c>
      <c r="E32" s="741"/>
      <c r="F32" s="742">
        <v>9415736.2699999996</v>
      </c>
      <c r="G32" s="741">
        <v>39048500.460000001</v>
      </c>
      <c r="H32" s="742">
        <f t="shared" si="5"/>
        <v>46087641.840480819</v>
      </c>
      <c r="I32" s="44">
        <f t="shared" si="1"/>
        <v>-7039141.3804808185</v>
      </c>
      <c r="J32" s="330">
        <f t="shared" si="2"/>
        <v>-0.1527338153868838</v>
      </c>
      <c r="K32" s="743">
        <f>D32</f>
        <v>184350567.36192328</v>
      </c>
      <c r="L32" s="424"/>
      <c r="M32" s="38"/>
      <c r="N32" s="38"/>
      <c r="O32" s="38"/>
      <c r="P32" s="38"/>
      <c r="Q32" s="38"/>
      <c r="R32" s="38"/>
      <c r="S32" s="38"/>
      <c r="T32" s="38"/>
      <c r="U32" s="38"/>
      <c r="V32" s="38"/>
      <c r="W32" s="38"/>
    </row>
    <row r="33" spans="1:23" ht="11.25" hidden="1" customHeight="1" x14ac:dyDescent="0.2">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
      <c r="A39" s="466" t="str">
        <f>'Org structure'!A5</f>
        <v>Vote 4 - Corporate Services</v>
      </c>
      <c r="B39" s="440"/>
      <c r="C39" s="503">
        <f t="shared" ref="C39:K39" si="6">SUM(C40:C49)</f>
        <v>0</v>
      </c>
      <c r="D39" s="444">
        <f t="shared" si="6"/>
        <v>19239180.686499998</v>
      </c>
      <c r="E39" s="441">
        <f t="shared" si="6"/>
        <v>0</v>
      </c>
      <c r="F39" s="443">
        <f t="shared" si="6"/>
        <v>0</v>
      </c>
      <c r="G39" s="441">
        <f t="shared" si="6"/>
        <v>396429.06</v>
      </c>
      <c r="H39" s="443">
        <f t="shared" si="6"/>
        <v>4809795.1716249995</v>
      </c>
      <c r="I39" s="44">
        <f t="shared" si="1"/>
        <v>-4413366.1116249999</v>
      </c>
      <c r="J39" s="330">
        <f t="shared" si="2"/>
        <v>-0.91757880619559418</v>
      </c>
      <c r="K39" s="442">
        <f t="shared" si="6"/>
        <v>19239180.686499998</v>
      </c>
      <c r="L39" s="424"/>
      <c r="M39" s="38"/>
      <c r="N39" s="38"/>
      <c r="O39" s="38"/>
      <c r="P39" s="38"/>
      <c r="Q39" s="38"/>
      <c r="R39" s="38"/>
      <c r="S39" s="38"/>
      <c r="T39" s="38"/>
      <c r="U39" s="38"/>
      <c r="V39" s="38"/>
      <c r="W39" s="38"/>
    </row>
    <row r="40" spans="1:23" ht="11.25" customHeight="1" x14ac:dyDescent="0.2">
      <c r="A40" s="407" t="str">
        <f>'Org structure'!E36</f>
        <v>4.1 - Human Resources Management</v>
      </c>
      <c r="B40" s="445"/>
      <c r="C40" s="739"/>
      <c r="D40" s="740">
        <v>18980058.640900001</v>
      </c>
      <c r="E40" s="741"/>
      <c r="F40" s="742"/>
      <c r="G40" s="741">
        <v>396429.06</v>
      </c>
      <c r="H40" s="742">
        <f t="shared" ref="H40:H42" si="7">D40/12*3</f>
        <v>4745014.6602250002</v>
      </c>
      <c r="I40" s="44">
        <f t="shared" si="1"/>
        <v>-4348585.6002250006</v>
      </c>
      <c r="J40" s="330">
        <f t="shared" si="2"/>
        <v>-0.91645356476491868</v>
      </c>
      <c r="K40" s="743">
        <f>D40</f>
        <v>18980058.640900001</v>
      </c>
      <c r="L40" s="424"/>
      <c r="M40" s="38"/>
      <c r="N40" s="38"/>
      <c r="O40" s="38"/>
      <c r="P40" s="38"/>
      <c r="Q40" s="38"/>
      <c r="R40" s="38"/>
      <c r="S40" s="38"/>
      <c r="T40" s="38"/>
      <c r="U40" s="38"/>
      <c r="V40" s="38"/>
      <c r="W40" s="38"/>
    </row>
    <row r="41" spans="1:23" ht="11.25" customHeight="1" x14ac:dyDescent="0.2">
      <c r="A41" s="407" t="str">
        <f>'Org structure'!E37</f>
        <v>4.2 - Information Technology</v>
      </c>
      <c r="B41" s="445"/>
      <c r="C41" s="739"/>
      <c r="D41" s="740">
        <v>2016.0139999999999</v>
      </c>
      <c r="E41" s="741"/>
      <c r="F41" s="742"/>
      <c r="G41" s="741"/>
      <c r="H41" s="742">
        <f t="shared" si="7"/>
        <v>504.00349999999992</v>
      </c>
      <c r="I41" s="44">
        <f t="shared" si="1"/>
        <v>-504.00349999999992</v>
      </c>
      <c r="J41" s="330">
        <f t="shared" si="2"/>
        <v>-1</v>
      </c>
      <c r="K41" s="743">
        <f>D41</f>
        <v>2016.0139999999999</v>
      </c>
      <c r="L41" s="424"/>
      <c r="M41" s="38"/>
      <c r="N41" s="38"/>
      <c r="O41" s="38"/>
      <c r="P41" s="38"/>
      <c r="Q41" s="38"/>
      <c r="R41" s="38"/>
      <c r="S41" s="38"/>
      <c r="T41" s="38"/>
      <c r="U41" s="38"/>
      <c r="V41" s="38"/>
      <c r="W41" s="38"/>
    </row>
    <row r="42" spans="1:23" ht="11.25" customHeight="1" x14ac:dyDescent="0.2">
      <c r="A42" s="407" t="str">
        <f>'Org structure'!E38</f>
        <v>4.3 - Legal Services</v>
      </c>
      <c r="B42" s="445"/>
      <c r="C42" s="739"/>
      <c r="D42" s="740">
        <v>257106.03159999999</v>
      </c>
      <c r="E42" s="741"/>
      <c r="F42" s="742"/>
      <c r="G42" s="741"/>
      <c r="H42" s="742">
        <f t="shared" si="7"/>
        <v>64276.507899999997</v>
      </c>
      <c r="I42" s="44">
        <f t="shared" si="1"/>
        <v>-64276.507899999997</v>
      </c>
      <c r="J42" s="330">
        <f t="shared" si="2"/>
        <v>-1</v>
      </c>
      <c r="K42" s="743">
        <f>D42</f>
        <v>257106.03159999999</v>
      </c>
      <c r="L42" s="424"/>
      <c r="M42" s="38"/>
      <c r="N42" s="38"/>
      <c r="O42" s="38"/>
      <c r="P42" s="38"/>
      <c r="Q42" s="38"/>
      <c r="R42" s="38"/>
      <c r="S42" s="38"/>
      <c r="T42" s="38"/>
      <c r="U42" s="38"/>
      <c r="V42" s="38"/>
      <c r="W42" s="38"/>
    </row>
    <row r="43" spans="1:23" ht="11.25" customHeight="1" x14ac:dyDescent="0.2">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
      <c r="A50" s="466" t="str">
        <f>'Org structure'!A6</f>
        <v>Vote 5 - Infrastructure Services</v>
      </c>
      <c r="B50" s="440"/>
      <c r="C50" s="503">
        <f>SUM(C51:C60)</f>
        <v>0</v>
      </c>
      <c r="D50" s="444">
        <f t="shared" ref="D50:K50" si="8">SUM(D51:D60)</f>
        <v>3376346372.7014918</v>
      </c>
      <c r="E50" s="441">
        <f t="shared" si="8"/>
        <v>0</v>
      </c>
      <c r="F50" s="443">
        <f t="shared" si="8"/>
        <v>327140205.31999999</v>
      </c>
      <c r="G50" s="441">
        <f t="shared" si="8"/>
        <v>1060968297.7400001</v>
      </c>
      <c r="H50" s="443">
        <f t="shared" si="8"/>
        <v>844086593.17537296</v>
      </c>
      <c r="I50" s="44">
        <f t="shared" si="1"/>
        <v>216881704.56462717</v>
      </c>
      <c r="J50" s="330">
        <f t="shared" si="2"/>
        <v>0.25694248234501504</v>
      </c>
      <c r="K50" s="442">
        <f t="shared" si="8"/>
        <v>3376346372.7014918</v>
      </c>
      <c r="L50" s="424"/>
      <c r="M50" s="38"/>
      <c r="N50" s="38"/>
      <c r="O50" s="38"/>
      <c r="P50" s="38"/>
      <c r="Q50" s="38"/>
      <c r="R50" s="38"/>
      <c r="S50" s="38"/>
      <c r="T50" s="38"/>
      <c r="U50" s="38"/>
      <c r="V50" s="38"/>
      <c r="W50" s="38"/>
    </row>
    <row r="51" spans="1:23" ht="11.25" customHeight="1" x14ac:dyDescent="0.2">
      <c r="A51" s="407" t="str">
        <f>'Org structure'!E47</f>
        <v>5.1 - Electricity</v>
      </c>
      <c r="B51" s="445"/>
      <c r="C51" s="739"/>
      <c r="D51" s="740">
        <v>1787507107.4868703</v>
      </c>
      <c r="E51" s="741"/>
      <c r="F51" s="742">
        <v>205806260.23000002</v>
      </c>
      <c r="G51" s="741">
        <v>645138249.0200001</v>
      </c>
      <c r="H51" s="742">
        <f t="shared" ref="H51:H54" si="9">D51/12*3</f>
        <v>446876776.87171757</v>
      </c>
      <c r="I51" s="44">
        <f t="shared" si="1"/>
        <v>198261472.14828253</v>
      </c>
      <c r="J51" s="330">
        <f t="shared" si="2"/>
        <v>0.44366027148731507</v>
      </c>
      <c r="K51" s="743">
        <f>D51</f>
        <v>1787507107.4868703</v>
      </c>
      <c r="L51" s="424"/>
      <c r="M51" s="38"/>
      <c r="N51" s="38"/>
      <c r="O51" s="38"/>
      <c r="P51" s="38"/>
      <c r="Q51" s="38"/>
      <c r="R51" s="38"/>
      <c r="S51" s="38"/>
      <c r="T51" s="38"/>
      <c r="U51" s="38"/>
      <c r="V51" s="38"/>
      <c r="W51" s="38"/>
    </row>
    <row r="52" spans="1:23" ht="11.25" customHeight="1" x14ac:dyDescent="0.2">
      <c r="A52" s="407" t="str">
        <f>'Org structure'!E48</f>
        <v>5.2 - Project Management Office</v>
      </c>
      <c r="B52" s="445"/>
      <c r="C52" s="739"/>
      <c r="D52" s="740">
        <v>19637703.2643</v>
      </c>
      <c r="E52" s="741"/>
      <c r="F52" s="742">
        <v>1679365.95</v>
      </c>
      <c r="G52" s="741">
        <v>2456925.08</v>
      </c>
      <c r="H52" s="742">
        <f t="shared" si="9"/>
        <v>4909425.816075</v>
      </c>
      <c r="I52" s="44">
        <f t="shared" si="1"/>
        <v>-2452500.7360749999</v>
      </c>
      <c r="J52" s="330">
        <f t="shared" si="2"/>
        <v>-0.49954940311853646</v>
      </c>
      <c r="K52" s="743">
        <f>D52</f>
        <v>19637703.2643</v>
      </c>
      <c r="L52" s="424"/>
      <c r="M52" s="38"/>
      <c r="N52" s="38"/>
      <c r="O52" s="38"/>
      <c r="P52" s="38"/>
      <c r="Q52" s="38"/>
      <c r="R52" s="38"/>
      <c r="S52" s="38"/>
      <c r="T52" s="38"/>
      <c r="U52" s="38"/>
      <c r="V52" s="38"/>
      <c r="W52" s="38"/>
    </row>
    <row r="53" spans="1:23" ht="11.25" customHeight="1" x14ac:dyDescent="0.2">
      <c r="A53" s="407" t="str">
        <f>'Org structure'!E49</f>
        <v>5.3 - Roads and Transportation</v>
      </c>
      <c r="B53" s="445"/>
      <c r="C53" s="739"/>
      <c r="D53" s="740">
        <v>65792799.755315199</v>
      </c>
      <c r="E53" s="741"/>
      <c r="F53" s="742">
        <v>18762952.530000001</v>
      </c>
      <c r="G53" s="741">
        <v>29212670.43</v>
      </c>
      <c r="H53" s="742">
        <f t="shared" si="9"/>
        <v>16448199.9388288</v>
      </c>
      <c r="I53" s="44">
        <f t="shared" si="1"/>
        <v>12764470.4911712</v>
      </c>
      <c r="J53" s="330">
        <f t="shared" si="2"/>
        <v>0.77604057213813871</v>
      </c>
      <c r="K53" s="743">
        <f>D53</f>
        <v>65792799.755315199</v>
      </c>
      <c r="L53" s="424"/>
      <c r="M53" s="38"/>
      <c r="N53" s="38"/>
      <c r="O53" s="38"/>
      <c r="P53" s="38"/>
      <c r="Q53" s="38"/>
      <c r="R53" s="38"/>
      <c r="S53" s="38"/>
      <c r="T53" s="38"/>
      <c r="U53" s="38"/>
      <c r="V53" s="38"/>
      <c r="W53" s="38"/>
    </row>
    <row r="54" spans="1:23" ht="11.25" customHeight="1" x14ac:dyDescent="0.2">
      <c r="A54" s="407" t="str">
        <f>'Org structure'!E50</f>
        <v>5.4 - Water and Sanitation</v>
      </c>
      <c r="B54" s="445"/>
      <c r="C54" s="739"/>
      <c r="D54" s="740">
        <v>1503408762.1950061</v>
      </c>
      <c r="E54" s="741"/>
      <c r="F54" s="742">
        <v>100891626.61</v>
      </c>
      <c r="G54" s="741">
        <v>384160453.21000004</v>
      </c>
      <c r="H54" s="742">
        <f t="shared" si="9"/>
        <v>375852190.54875153</v>
      </c>
      <c r="I54" s="44">
        <f t="shared" si="1"/>
        <v>8308262.6612485051</v>
      </c>
      <c r="J54" s="330">
        <f t="shared" si="2"/>
        <v>2.2105133002200357E-2</v>
      </c>
      <c r="K54" s="743">
        <f>D54</f>
        <v>1503408762.1950061</v>
      </c>
      <c r="L54" s="424"/>
      <c r="M54" s="38"/>
      <c r="N54" s="38"/>
      <c r="O54" s="38"/>
      <c r="P54" s="38"/>
      <c r="Q54" s="38"/>
      <c r="R54" s="38"/>
      <c r="S54" s="38"/>
      <c r="T54" s="38"/>
      <c r="U54" s="38"/>
      <c r="V54" s="38"/>
      <c r="W54" s="38"/>
    </row>
    <row r="55" spans="1:23" ht="11.25" customHeight="1" x14ac:dyDescent="0.2">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
      <c r="A61" s="466" t="str">
        <f>'Org structure'!A7</f>
        <v>Vote 6 - Sustainable Development and City Enterprises</v>
      </c>
      <c r="B61" s="440"/>
      <c r="C61" s="503">
        <f>SUM(C62:C71)</f>
        <v>0</v>
      </c>
      <c r="D61" s="444">
        <f t="shared" ref="D61:K61" si="10">SUM(D62:D71)</f>
        <v>432870465.38774735</v>
      </c>
      <c r="E61" s="441">
        <f t="shared" si="10"/>
        <v>0</v>
      </c>
      <c r="F61" s="443">
        <f t="shared" si="10"/>
        <v>19526378.529999882</v>
      </c>
      <c r="G61" s="441">
        <f t="shared" si="10"/>
        <v>32200475.799999747</v>
      </c>
      <c r="H61" s="443">
        <f t="shared" si="10"/>
        <v>108217616.34693684</v>
      </c>
      <c r="I61" s="44">
        <f t="shared" si="1"/>
        <v>-76017140.546937093</v>
      </c>
      <c r="J61" s="330">
        <f t="shared" si="2"/>
        <v>-0.70244700551555628</v>
      </c>
      <c r="K61" s="442">
        <f t="shared" si="10"/>
        <v>432870465.38774735</v>
      </c>
      <c r="L61" s="424"/>
      <c r="M61" s="38"/>
      <c r="N61" s="38"/>
      <c r="O61" s="38"/>
      <c r="P61" s="38"/>
      <c r="Q61" s="38"/>
      <c r="R61" s="38"/>
      <c r="S61" s="38"/>
      <c r="T61" s="38"/>
      <c r="U61" s="38"/>
      <c r="V61" s="38"/>
      <c r="W61" s="38"/>
    </row>
    <row r="62" spans="1:23" ht="11.25" customHeight="1" x14ac:dyDescent="0.2">
      <c r="A62" s="407" t="str">
        <f>'Org structure'!E58</f>
        <v>6.1 - City Entities</v>
      </c>
      <c r="B62" s="445"/>
      <c r="C62" s="739"/>
      <c r="D62" s="740"/>
      <c r="E62" s="741"/>
      <c r="F62" s="742">
        <v>4136170.609999883</v>
      </c>
      <c r="G62" s="741">
        <v>6667578.3199997516</v>
      </c>
      <c r="H62" s="742"/>
      <c r="I62" s="44">
        <f t="shared" si="1"/>
        <v>6667578.3199997516</v>
      </c>
      <c r="J62" s="330" t="e">
        <f t="shared" si="2"/>
        <v>#DIV/0!</v>
      </c>
      <c r="K62" s="743"/>
      <c r="L62" s="424"/>
      <c r="M62" s="38"/>
      <c r="N62" s="38"/>
      <c r="O62" s="38"/>
      <c r="P62" s="38"/>
      <c r="Q62" s="38"/>
      <c r="R62" s="38"/>
      <c r="S62" s="38"/>
      <c r="T62" s="38"/>
      <c r="U62" s="38"/>
      <c r="V62" s="38"/>
      <c r="W62" s="38"/>
    </row>
    <row r="63" spans="1:23" ht="11.25" customHeight="1" x14ac:dyDescent="0.2">
      <c r="A63" s="407" t="str">
        <f>'Org structure'!E59</f>
        <v>6.2 - Development Services</v>
      </c>
      <c r="B63" s="445"/>
      <c r="C63" s="739"/>
      <c r="D63" s="740">
        <v>41022287.158399999</v>
      </c>
      <c r="E63" s="741"/>
      <c r="F63" s="742">
        <v>12398.42</v>
      </c>
      <c r="G63" s="741">
        <v>29005.360000000001</v>
      </c>
      <c r="H63" s="742">
        <f t="shared" ref="H63:H65" si="11">D63/12*3</f>
        <v>10255571.7896</v>
      </c>
      <c r="I63" s="44">
        <f t="shared" si="1"/>
        <v>-10226566.4296</v>
      </c>
      <c r="J63" s="330">
        <f t="shared" si="2"/>
        <v>-0.99717174618879723</v>
      </c>
      <c r="K63" s="743">
        <f>D63</f>
        <v>41022287.158399999</v>
      </c>
      <c r="L63" s="424"/>
      <c r="M63" s="38"/>
      <c r="N63" s="38"/>
      <c r="O63" s="38"/>
      <c r="P63" s="38"/>
      <c r="Q63" s="38"/>
      <c r="R63" s="38"/>
      <c r="S63" s="38"/>
      <c r="T63" s="38"/>
      <c r="U63" s="38"/>
      <c r="V63" s="38"/>
      <c r="W63" s="38"/>
    </row>
    <row r="64" spans="1:23" ht="11.25" customHeight="1" x14ac:dyDescent="0.2">
      <c r="A64" s="407" t="str">
        <f>'Org structure'!E60</f>
        <v>6.3 - Human Settlement Development</v>
      </c>
      <c r="B64" s="445"/>
      <c r="C64" s="739"/>
      <c r="D64" s="740">
        <v>328237277.54334736</v>
      </c>
      <c r="E64" s="741"/>
      <c r="F64" s="742">
        <v>15321362.449999997</v>
      </c>
      <c r="G64" s="741">
        <v>26251315.129999999</v>
      </c>
      <c r="H64" s="742">
        <f t="shared" si="11"/>
        <v>82059319.38583684</v>
      </c>
      <c r="I64" s="44">
        <f t="shared" si="1"/>
        <v>-55808004.255836844</v>
      </c>
      <c r="J64" s="330">
        <f t="shared" si="2"/>
        <v>-0.68009343330562788</v>
      </c>
      <c r="K64" s="743">
        <f>D64</f>
        <v>328237277.54334736</v>
      </c>
      <c r="L64" s="424"/>
      <c r="M64" s="38"/>
      <c r="N64" s="38"/>
      <c r="O64" s="38"/>
      <c r="P64" s="38"/>
      <c r="Q64" s="38"/>
      <c r="R64" s="38"/>
      <c r="S64" s="38"/>
      <c r="T64" s="38"/>
      <c r="U64" s="38"/>
      <c r="V64" s="38"/>
      <c r="W64" s="38"/>
    </row>
    <row r="65" spans="1:23" ht="11.25" customHeight="1" x14ac:dyDescent="0.2">
      <c r="A65" s="407" t="str">
        <f>'Org structure'!E61</f>
        <v>6.4 - Town Planning</v>
      </c>
      <c r="B65" s="445"/>
      <c r="C65" s="739"/>
      <c r="D65" s="740">
        <v>63610900.686000004</v>
      </c>
      <c r="E65" s="741"/>
      <c r="F65" s="742">
        <v>56447.05</v>
      </c>
      <c r="G65" s="741">
        <v>-747423.01</v>
      </c>
      <c r="H65" s="742">
        <f t="shared" si="11"/>
        <v>15902725.171500001</v>
      </c>
      <c r="I65" s="44">
        <f t="shared" si="1"/>
        <v>-16650148.181500001</v>
      </c>
      <c r="J65" s="330">
        <f t="shared" si="2"/>
        <v>-1.046999680994267</v>
      </c>
      <c r="K65" s="743">
        <f>D65</f>
        <v>63610900.686000004</v>
      </c>
      <c r="L65" s="424"/>
      <c r="M65" s="38"/>
      <c r="N65" s="38"/>
      <c r="O65" s="38"/>
      <c r="P65" s="38"/>
      <c r="Q65" s="38"/>
      <c r="R65" s="38"/>
      <c r="S65" s="38"/>
      <c r="T65" s="38"/>
      <c r="U65" s="38"/>
      <c r="V65" s="38"/>
      <c r="W65" s="38"/>
    </row>
    <row r="66" spans="1:23" ht="11.25" customHeight="1" x14ac:dyDescent="0.2">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
      <c r="A171" s="447" t="s">
        <v>635</v>
      </c>
      <c r="B171" s="415">
        <v>2</v>
      </c>
      <c r="C171" s="504">
        <f>C6+C17+C28+C39+C50+C61+C72+C83+C94+C105+C116+C127+C138+C149+C160</f>
        <v>0</v>
      </c>
      <c r="D171" s="451">
        <f t="shared" ref="D171:K171" si="26">D6+D17+D28+D39+D50+D61+D72+D83+D94+D105+D116+D127+D138+D149+D160</f>
        <v>6443701838.8720646</v>
      </c>
      <c r="E171" s="448">
        <f t="shared" si="26"/>
        <v>0</v>
      </c>
      <c r="F171" s="450">
        <f t="shared" si="26"/>
        <v>473425335.8499999</v>
      </c>
      <c r="G171" s="448">
        <f t="shared" si="26"/>
        <v>1603642837.3699999</v>
      </c>
      <c r="H171" s="450">
        <f t="shared" si="26"/>
        <v>1610925459.7180161</v>
      </c>
      <c r="I171" s="514">
        <f t="shared" si="20"/>
        <v>-7282622.3480162621</v>
      </c>
      <c r="J171" s="515">
        <f t="shared" si="21"/>
        <v>-4.5207692907721789E-3</v>
      </c>
      <c r="K171" s="449">
        <f t="shared" si="26"/>
        <v>6443701838.8720646</v>
      </c>
      <c r="L171" s="446"/>
      <c r="M171" s="40"/>
      <c r="N171" s="40"/>
      <c r="O171" s="40"/>
      <c r="P171" s="40"/>
      <c r="Q171" s="40"/>
      <c r="R171" s="40"/>
      <c r="S171" s="40"/>
      <c r="T171" s="40"/>
      <c r="U171" s="40"/>
      <c r="V171" s="40"/>
      <c r="W171" s="40"/>
    </row>
    <row r="172" spans="1:23" ht="3" customHeight="1" x14ac:dyDescent="0.2">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
      <c r="A174" s="466" t="str">
        <f>'Org structure'!A2</f>
        <v>Vote 1 - City Manager</v>
      </c>
      <c r="B174" s="467"/>
      <c r="C174" s="507">
        <f t="shared" ref="C174:K174" si="27">SUM(C175:C184)</f>
        <v>0</v>
      </c>
      <c r="D174" s="471">
        <f t="shared" si="27"/>
        <v>181805355.87582266</v>
      </c>
      <c r="E174" s="468">
        <f t="shared" si="27"/>
        <v>0</v>
      </c>
      <c r="F174" s="470">
        <f t="shared" si="27"/>
        <v>17946778.490000002</v>
      </c>
      <c r="G174" s="468">
        <f t="shared" si="27"/>
        <v>36471335.539999992</v>
      </c>
      <c r="H174" s="470">
        <f t="shared" si="27"/>
        <v>45451338.968955666</v>
      </c>
      <c r="I174" s="44">
        <f t="shared" si="20"/>
        <v>-8980003.4289556742</v>
      </c>
      <c r="J174" s="330">
        <f t="shared" si="21"/>
        <v>-0.19757401283797663</v>
      </c>
      <c r="K174" s="469">
        <f t="shared" si="27"/>
        <v>181805355.87582266</v>
      </c>
      <c r="L174" s="446"/>
      <c r="M174" s="40"/>
      <c r="N174" s="40"/>
      <c r="O174" s="40"/>
      <c r="P174" s="40"/>
      <c r="Q174" s="40"/>
      <c r="R174" s="40"/>
      <c r="S174" s="40"/>
      <c r="T174" s="40"/>
      <c r="U174" s="40"/>
      <c r="V174" s="40"/>
      <c r="W174" s="40"/>
    </row>
    <row r="175" spans="1:23" ht="11.25" customHeight="1" x14ac:dyDescent="0.2">
      <c r="A175" s="407" t="str">
        <f>'Org structure'!E3</f>
        <v>1.1 - Internal Audit and Compliance</v>
      </c>
      <c r="B175" s="445"/>
      <c r="C175" s="744"/>
      <c r="D175" s="745">
        <v>19757657.663691994</v>
      </c>
      <c r="E175" s="733"/>
      <c r="F175" s="746">
        <v>2062133.8699999999</v>
      </c>
      <c r="G175" s="733">
        <v>3110155.330000001</v>
      </c>
      <c r="H175" s="746">
        <f t="shared" ref="H175:H178" si="28">D175/12*3</f>
        <v>4939414.4159229985</v>
      </c>
      <c r="I175" s="44">
        <f t="shared" si="20"/>
        <v>-1829259.0859229974</v>
      </c>
      <c r="J175" s="330">
        <f t="shared" si="21"/>
        <v>-0.37033926127479522</v>
      </c>
      <c r="K175" s="747">
        <f>D175</f>
        <v>19757657.663691994</v>
      </c>
      <c r="L175" s="446"/>
      <c r="M175" s="40"/>
      <c r="N175" s="40"/>
      <c r="O175" s="40"/>
      <c r="P175" s="40"/>
      <c r="Q175" s="40"/>
      <c r="R175" s="40"/>
      <c r="S175" s="40"/>
      <c r="T175" s="40"/>
      <c r="U175" s="40"/>
      <c r="V175" s="40"/>
      <c r="W175" s="40"/>
    </row>
    <row r="176" spans="1:23" ht="11.25" customHeight="1" x14ac:dyDescent="0.2">
      <c r="A176" s="407" t="str">
        <f>'Org structure'!E4</f>
        <v>1.2 - Office of the City Manager</v>
      </c>
      <c r="B176" s="445"/>
      <c r="C176" s="744"/>
      <c r="D176" s="745">
        <v>42326752.982156038</v>
      </c>
      <c r="E176" s="733"/>
      <c r="F176" s="746">
        <v>5053534.4400000004</v>
      </c>
      <c r="G176" s="733">
        <v>10677321.859999999</v>
      </c>
      <c r="H176" s="746">
        <f t="shared" si="28"/>
        <v>10581688.24553901</v>
      </c>
      <c r="I176" s="44">
        <f t="shared" si="20"/>
        <v>95633.614460989833</v>
      </c>
      <c r="J176" s="330">
        <f t="shared" si="21"/>
        <v>9.0376518606382784E-3</v>
      </c>
      <c r="K176" s="747">
        <f>D176</f>
        <v>42326752.982156038</v>
      </c>
      <c r="L176" s="446"/>
      <c r="M176" s="40"/>
      <c r="N176" s="40"/>
      <c r="O176" s="40"/>
      <c r="P176" s="40"/>
      <c r="Q176" s="40"/>
      <c r="R176" s="40"/>
      <c r="S176" s="40"/>
      <c r="T176" s="40"/>
      <c r="U176" s="40"/>
      <c r="V176" s="40"/>
      <c r="W176" s="40"/>
    </row>
    <row r="177" spans="1:23" ht="11.25" customHeight="1" x14ac:dyDescent="0.2">
      <c r="A177" s="407" t="str">
        <f>'Org structure'!E5</f>
        <v>1.3 - Political Support</v>
      </c>
      <c r="B177" s="445"/>
      <c r="C177" s="744"/>
      <c r="D177" s="745">
        <v>106872334.4376146</v>
      </c>
      <c r="E177" s="733"/>
      <c r="F177" s="746">
        <v>10297895.15</v>
      </c>
      <c r="G177" s="733">
        <v>21304978.389999989</v>
      </c>
      <c r="H177" s="746">
        <f t="shared" si="28"/>
        <v>26718083.609403655</v>
      </c>
      <c r="I177" s="44">
        <f t="shared" si="20"/>
        <v>-5413105.2194036655</v>
      </c>
      <c r="J177" s="330">
        <f t="shared" si="21"/>
        <v>-0.20260080395505903</v>
      </c>
      <c r="K177" s="747">
        <f>D177</f>
        <v>106872334.4376146</v>
      </c>
      <c r="L177" s="446"/>
      <c r="M177" s="40"/>
      <c r="N177" s="40"/>
      <c r="O177" s="40"/>
      <c r="P177" s="40"/>
      <c r="Q177" s="40"/>
      <c r="R177" s="40"/>
      <c r="S177" s="40"/>
      <c r="T177" s="40"/>
      <c r="U177" s="40"/>
      <c r="V177" s="40"/>
      <c r="W177" s="40"/>
    </row>
    <row r="178" spans="1:23" ht="11.25" customHeight="1" x14ac:dyDescent="0.2">
      <c r="A178" s="407" t="str">
        <f>'Org structure'!E6</f>
        <v>1.4 - Strategic Planning</v>
      </c>
      <c r="B178" s="445"/>
      <c r="C178" s="744"/>
      <c r="D178" s="745">
        <v>12848610.792359998</v>
      </c>
      <c r="E178" s="733"/>
      <c r="F178" s="746">
        <v>533215.03</v>
      </c>
      <c r="G178" s="733">
        <v>1378879.9599999997</v>
      </c>
      <c r="H178" s="746">
        <f t="shared" si="28"/>
        <v>3212152.6980899996</v>
      </c>
      <c r="I178" s="44">
        <f t="shared" si="20"/>
        <v>-1833272.7380899999</v>
      </c>
      <c r="J178" s="330">
        <f t="shared" si="21"/>
        <v>-0.57073025799181176</v>
      </c>
      <c r="K178" s="747">
        <f>D178</f>
        <v>12848610.792359998</v>
      </c>
      <c r="L178" s="446"/>
      <c r="M178" s="40"/>
      <c r="N178" s="40"/>
      <c r="O178" s="40"/>
      <c r="P178" s="40"/>
      <c r="Q178" s="40"/>
      <c r="R178" s="40"/>
      <c r="S178" s="40"/>
      <c r="T178" s="40"/>
      <c r="U178" s="40"/>
      <c r="V178" s="40"/>
      <c r="W178" s="40"/>
    </row>
    <row r="179" spans="1:23" ht="11.25" hidden="1" customHeight="1" x14ac:dyDescent="0.2">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
      <c r="A185" s="466" t="str">
        <f>'Org structure'!A3</f>
        <v>Vote 2 - City Finance</v>
      </c>
      <c r="B185" s="440"/>
      <c r="C185" s="503">
        <f>SUM(C186:C195)</f>
        <v>0</v>
      </c>
      <c r="D185" s="444">
        <f>SUM(D186:D195)</f>
        <v>700877661.2400291</v>
      </c>
      <c r="E185" s="441">
        <f t="shared" ref="E185:K185" si="29">SUM(E186:E195)</f>
        <v>0</v>
      </c>
      <c r="F185" s="443">
        <f t="shared" si="29"/>
        <v>26071701.299999997</v>
      </c>
      <c r="G185" s="441">
        <f t="shared" si="29"/>
        <v>64085525.909999996</v>
      </c>
      <c r="H185" s="443">
        <f t="shared" si="29"/>
        <v>175219415.31000727</v>
      </c>
      <c r="I185" s="44">
        <f t="shared" si="20"/>
        <v>-111133889.40000728</v>
      </c>
      <c r="J185" s="330">
        <f t="shared" si="21"/>
        <v>-0.63425556581948095</v>
      </c>
      <c r="K185" s="442">
        <f t="shared" si="29"/>
        <v>700877661.2400291</v>
      </c>
      <c r="L185" s="48"/>
      <c r="M185" s="473"/>
      <c r="N185" s="473"/>
      <c r="O185" s="473"/>
      <c r="P185" s="473"/>
      <c r="Q185" s="473"/>
      <c r="R185" s="473"/>
      <c r="S185" s="473"/>
      <c r="T185" s="473"/>
      <c r="U185" s="473"/>
      <c r="V185" s="473"/>
      <c r="W185" s="473"/>
    </row>
    <row r="186" spans="1:23" ht="11.25" customHeight="1" x14ac:dyDescent="0.2">
      <c r="A186" s="407" t="str">
        <f>'Org structure'!E14</f>
        <v>2.1 - Asset Management</v>
      </c>
      <c r="B186" s="445"/>
      <c r="C186" s="744"/>
      <c r="D186" s="745">
        <v>94584991.874728531</v>
      </c>
      <c r="E186" s="733"/>
      <c r="F186" s="746">
        <v>5101592.5799999982</v>
      </c>
      <c r="G186" s="733">
        <v>11715202.240000008</v>
      </c>
      <c r="H186" s="746">
        <f t="shared" ref="H186:H190" si="30">D186/12*3</f>
        <v>23646247.968682133</v>
      </c>
      <c r="I186" s="44">
        <f t="shared" si="20"/>
        <v>-11931045.728682125</v>
      </c>
      <c r="J186" s="330">
        <f t="shared" si="21"/>
        <v>-0.50456401135960316</v>
      </c>
      <c r="K186" s="747">
        <f>D186</f>
        <v>94584991.874728531</v>
      </c>
      <c r="L186" s="48"/>
      <c r="M186" s="473"/>
      <c r="N186" s="473"/>
      <c r="O186" s="473"/>
      <c r="P186" s="473"/>
      <c r="Q186" s="473"/>
      <c r="R186" s="473"/>
      <c r="S186" s="473"/>
      <c r="T186" s="473"/>
      <c r="U186" s="473"/>
      <c r="V186" s="473"/>
      <c r="W186" s="473"/>
    </row>
    <row r="187" spans="1:23" ht="11.25" customHeight="1" x14ac:dyDescent="0.2">
      <c r="A187" s="407" t="str">
        <f>'Org structure'!E15</f>
        <v>2.2 - Budget and Treasury Management</v>
      </c>
      <c r="B187" s="445"/>
      <c r="C187" s="744"/>
      <c r="D187" s="745">
        <v>34270508.087497681</v>
      </c>
      <c r="E187" s="733"/>
      <c r="F187" s="746">
        <v>7525743.1499999976</v>
      </c>
      <c r="G187" s="733">
        <v>15908178.210000001</v>
      </c>
      <c r="H187" s="746">
        <f t="shared" si="30"/>
        <v>8567627.0218744203</v>
      </c>
      <c r="I187" s="44">
        <f t="shared" si="20"/>
        <v>7340551.1881255805</v>
      </c>
      <c r="J187" s="330">
        <f t="shared" si="21"/>
        <v>0.8567776315873773</v>
      </c>
      <c r="K187" s="747">
        <f>D187</f>
        <v>34270508.087497681</v>
      </c>
      <c r="L187" s="48"/>
      <c r="M187" s="473"/>
      <c r="N187" s="473"/>
      <c r="O187" s="473"/>
      <c r="P187" s="473"/>
      <c r="Q187" s="473"/>
      <c r="R187" s="473"/>
      <c r="S187" s="473"/>
      <c r="T187" s="473"/>
      <c r="U187" s="473"/>
      <c r="V187" s="473"/>
      <c r="W187" s="473"/>
    </row>
    <row r="188" spans="1:23" ht="11.25" customHeight="1" x14ac:dyDescent="0.2">
      <c r="A188" s="407" t="str">
        <f>'Org structure'!E16</f>
        <v>2.3 - Expenditure Management</v>
      </c>
      <c r="B188" s="445"/>
      <c r="C188" s="744"/>
      <c r="D188" s="745">
        <v>484978367.60950798</v>
      </c>
      <c r="E188" s="733"/>
      <c r="F188" s="746">
        <v>1230902.8199999998</v>
      </c>
      <c r="G188" s="733">
        <v>3610807.0700000003</v>
      </c>
      <c r="H188" s="746">
        <f t="shared" si="30"/>
        <v>121244591.90237701</v>
      </c>
      <c r="I188" s="44">
        <f t="shared" si="20"/>
        <v>-117633784.83237702</v>
      </c>
      <c r="J188" s="330">
        <f t="shared" si="21"/>
        <v>-0.97021881955025824</v>
      </c>
      <c r="K188" s="747">
        <f>D188</f>
        <v>484978367.60950798</v>
      </c>
      <c r="L188" s="48"/>
      <c r="M188" s="473"/>
      <c r="N188" s="473"/>
      <c r="O188" s="473"/>
      <c r="P188" s="473"/>
      <c r="Q188" s="473"/>
      <c r="R188" s="473"/>
      <c r="S188" s="473"/>
      <c r="T188" s="473"/>
      <c r="U188" s="473"/>
      <c r="V188" s="473"/>
      <c r="W188" s="473"/>
    </row>
    <row r="189" spans="1:23" ht="11.25" customHeight="1" x14ac:dyDescent="0.2">
      <c r="A189" s="407" t="str">
        <f>'Org structure'!E17</f>
        <v>2.4 - Revenue Management</v>
      </c>
      <c r="B189" s="445"/>
      <c r="C189" s="744"/>
      <c r="D189" s="745">
        <v>22239285.456538409</v>
      </c>
      <c r="E189" s="733"/>
      <c r="F189" s="746">
        <v>9399221.1099999994</v>
      </c>
      <c r="G189" s="733">
        <v>25700384.009999994</v>
      </c>
      <c r="H189" s="746">
        <f t="shared" si="30"/>
        <v>5559821.3641346022</v>
      </c>
      <c r="I189" s="44">
        <f t="shared" si="20"/>
        <v>20140562.645865392</v>
      </c>
      <c r="J189" s="330">
        <f t="shared" si="21"/>
        <v>3.6225197406140608</v>
      </c>
      <c r="K189" s="747">
        <f>D189</f>
        <v>22239285.456538409</v>
      </c>
      <c r="L189" s="48"/>
      <c r="M189" s="473"/>
      <c r="N189" s="473"/>
      <c r="O189" s="473"/>
      <c r="P189" s="473"/>
      <c r="Q189" s="473"/>
      <c r="R189" s="473"/>
      <c r="S189" s="473"/>
      <c r="T189" s="473"/>
      <c r="U189" s="473"/>
      <c r="V189" s="473"/>
      <c r="W189" s="473"/>
    </row>
    <row r="190" spans="1:23" ht="11.25" customHeight="1" x14ac:dyDescent="0.2">
      <c r="A190" s="407" t="str">
        <f>'Org structure'!E18</f>
        <v>2.5 - Supply Chain Management</v>
      </c>
      <c r="B190" s="445"/>
      <c r="C190" s="744"/>
      <c r="D190" s="745">
        <v>64804508.211756505</v>
      </c>
      <c r="E190" s="733"/>
      <c r="F190" s="746">
        <v>2814241.64</v>
      </c>
      <c r="G190" s="733">
        <v>7150954.379999999</v>
      </c>
      <c r="H190" s="746">
        <f t="shared" si="30"/>
        <v>16201127.052939126</v>
      </c>
      <c r="I190" s="44">
        <f t="shared" si="20"/>
        <v>-9050172.6729391273</v>
      </c>
      <c r="J190" s="330">
        <f t="shared" si="21"/>
        <v>-0.5586137707189508</v>
      </c>
      <c r="K190" s="747">
        <f>D190</f>
        <v>64804508.211756505</v>
      </c>
      <c r="L190" s="48"/>
      <c r="M190" s="473"/>
      <c r="N190" s="473"/>
      <c r="O190" s="473"/>
      <c r="P190" s="473"/>
      <c r="Q190" s="473"/>
      <c r="R190" s="473"/>
      <c r="S190" s="473"/>
      <c r="T190" s="473"/>
      <c r="U190" s="473"/>
      <c r="V190" s="473"/>
      <c r="W190" s="473"/>
    </row>
    <row r="191" spans="1:23" ht="11.25" hidden="1" customHeight="1" x14ac:dyDescent="0.2">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
      <c r="A196" s="466" t="str">
        <f>'Org structure'!A4</f>
        <v>Vote 3 - Community Services and Social Equity</v>
      </c>
      <c r="B196" s="440"/>
      <c r="C196" s="503">
        <f t="shared" ref="C196:K196" si="31">SUM(C197:C206)</f>
        <v>0</v>
      </c>
      <c r="D196" s="444">
        <f t="shared" si="31"/>
        <v>743751614.16259539</v>
      </c>
      <c r="E196" s="441">
        <f t="shared" si="31"/>
        <v>0</v>
      </c>
      <c r="F196" s="443">
        <f t="shared" si="31"/>
        <v>60305925.700000025</v>
      </c>
      <c r="G196" s="441">
        <f t="shared" si="31"/>
        <v>174991283.8199999</v>
      </c>
      <c r="H196" s="443">
        <f t="shared" si="31"/>
        <v>185937903.54064885</v>
      </c>
      <c r="I196" s="44">
        <f t="shared" si="20"/>
        <v>-10946619.720648944</v>
      </c>
      <c r="J196" s="330">
        <f t="shared" si="21"/>
        <v>-5.8872448877836506E-2</v>
      </c>
      <c r="K196" s="442">
        <f t="shared" si="31"/>
        <v>743751614.16259539</v>
      </c>
      <c r="L196" s="48"/>
      <c r="M196" s="473"/>
      <c r="N196" s="473"/>
      <c r="O196" s="473"/>
      <c r="P196" s="473"/>
      <c r="Q196" s="473"/>
      <c r="R196" s="473"/>
      <c r="S196" s="473"/>
      <c r="T196" s="473"/>
      <c r="U196" s="473"/>
      <c r="V196" s="473"/>
      <c r="W196" s="473"/>
    </row>
    <row r="197" spans="1:23" ht="11.25" customHeight="1" x14ac:dyDescent="0.2">
      <c r="A197" s="407" t="str">
        <f>'Org structure'!E25</f>
        <v xml:space="preserve">3.1 - Area Based Management </v>
      </c>
      <c r="B197" s="445"/>
      <c r="C197" s="744"/>
      <c r="D197" s="745"/>
      <c r="E197" s="733"/>
      <c r="F197" s="746">
        <v>2870664.0600000005</v>
      </c>
      <c r="G197" s="733">
        <v>8544179.7499999981</v>
      </c>
      <c r="H197" s="746"/>
      <c r="I197" s="44">
        <f t="shared" si="20"/>
        <v>8544179.7499999981</v>
      </c>
      <c r="J197" s="330" t="e">
        <f t="shared" si="21"/>
        <v>#DIV/0!</v>
      </c>
      <c r="K197" s="747"/>
      <c r="L197" s="48"/>
      <c r="M197" s="473"/>
      <c r="N197" s="473"/>
      <c r="O197" s="473"/>
      <c r="P197" s="473"/>
      <c r="Q197" s="473"/>
      <c r="R197" s="473"/>
      <c r="S197" s="473"/>
      <c r="T197" s="473"/>
      <c r="U197" s="473"/>
      <c r="V197" s="473"/>
      <c r="W197" s="473"/>
    </row>
    <row r="198" spans="1:23" ht="11.25" customHeight="1" x14ac:dyDescent="0.2">
      <c r="A198" s="407" t="str">
        <f>'Org structure'!E26</f>
        <v>3.2 - Public Safety, Emergency Services and Enforcement</v>
      </c>
      <c r="B198" s="445"/>
      <c r="C198" s="744"/>
      <c r="D198" s="745">
        <v>743751614.16259539</v>
      </c>
      <c r="E198" s="733"/>
      <c r="F198" s="746">
        <v>27679516.890000001</v>
      </c>
      <c r="G198" s="733">
        <v>85964186.429999992</v>
      </c>
      <c r="H198" s="746">
        <f t="shared" ref="H198" si="32">D198/12*3</f>
        <v>185937903.54064885</v>
      </c>
      <c r="I198" s="44">
        <f>G198-H198</f>
        <v>-99973717.110648856</v>
      </c>
      <c r="J198" s="330">
        <f t="shared" ref="J198:J261" si="33">IF(I198=0,"",I198/H198)</f>
        <v>-0.53767260578364584</v>
      </c>
      <c r="K198" s="747">
        <f>D198</f>
        <v>743751614.16259539</v>
      </c>
      <c r="L198" s="48"/>
      <c r="M198" s="473"/>
      <c r="N198" s="473"/>
      <c r="O198" s="473"/>
      <c r="P198" s="473"/>
      <c r="Q198" s="473"/>
      <c r="R198" s="473"/>
      <c r="S198" s="473"/>
      <c r="T198" s="473"/>
      <c r="U198" s="473"/>
      <c r="V198" s="473"/>
      <c r="W198" s="473"/>
    </row>
    <row r="199" spans="1:23" ht="11.25" customHeight="1" x14ac:dyDescent="0.2">
      <c r="A199" s="407" t="str">
        <f>'Org structure'!E27</f>
        <v>3.3 - Recreation and Facilities</v>
      </c>
      <c r="B199" s="445"/>
      <c r="C199" s="744"/>
      <c r="D199" s="745"/>
      <c r="E199" s="733"/>
      <c r="F199" s="746">
        <v>19458028.830000021</v>
      </c>
      <c r="G199" s="733">
        <v>54321291.97999993</v>
      </c>
      <c r="H199" s="746"/>
      <c r="I199" s="44">
        <f t="shared" ref="I199:I261" si="34">G199-H199</f>
        <v>54321291.97999993</v>
      </c>
      <c r="J199" s="330" t="e">
        <f t="shared" si="33"/>
        <v>#DIV/0!</v>
      </c>
      <c r="K199" s="747"/>
      <c r="L199" s="48"/>
      <c r="M199" s="473"/>
      <c r="N199" s="473"/>
      <c r="O199" s="473"/>
      <c r="P199" s="473"/>
      <c r="Q199" s="473"/>
      <c r="R199" s="473"/>
      <c r="S199" s="473"/>
      <c r="T199" s="473"/>
      <c r="U199" s="473"/>
      <c r="V199" s="473"/>
      <c r="W199" s="473"/>
    </row>
    <row r="200" spans="1:23" ht="11.25" customHeight="1" x14ac:dyDescent="0.2">
      <c r="A200" s="407" t="str">
        <f>'Org structure'!E28</f>
        <v>3.4 - Waste Management</v>
      </c>
      <c r="B200" s="445"/>
      <c r="C200" s="744"/>
      <c r="D200" s="745"/>
      <c r="E200" s="733"/>
      <c r="F200" s="746">
        <v>10297715.92</v>
      </c>
      <c r="G200" s="733">
        <v>26161625.66</v>
      </c>
      <c r="H200" s="746"/>
      <c r="I200" s="44">
        <f t="shared" si="34"/>
        <v>26161625.66</v>
      </c>
      <c r="J200" s="330" t="e">
        <f t="shared" si="33"/>
        <v>#DIV/0!</v>
      </c>
      <c r="K200" s="747"/>
      <c r="L200" s="48"/>
      <c r="M200" s="473"/>
      <c r="N200" s="473"/>
      <c r="O200" s="473"/>
      <c r="P200" s="473"/>
      <c r="Q200" s="473"/>
      <c r="R200" s="473"/>
      <c r="S200" s="473"/>
      <c r="T200" s="473"/>
      <c r="U200" s="473"/>
      <c r="V200" s="473"/>
      <c r="W200" s="473"/>
    </row>
    <row r="201" spans="1:23" ht="11.25" hidden="1" customHeight="1" x14ac:dyDescent="0.2">
      <c r="A201" s="407">
        <f>'Org structure'!E29</f>
        <v>0</v>
      </c>
      <c r="B201" s="445"/>
      <c r="C201" s="394"/>
      <c r="D201" s="383"/>
      <c r="E201" s="384"/>
      <c r="F201" s="472"/>
      <c r="G201" s="384"/>
      <c r="H201" s="472"/>
      <c r="I201" s="44">
        <f t="shared" si="34"/>
        <v>0</v>
      </c>
      <c r="J201" s="330" t="str">
        <f t="shared" si="33"/>
        <v/>
      </c>
      <c r="K201" s="395"/>
      <c r="L201" s="48"/>
      <c r="M201" s="473"/>
      <c r="N201" s="473"/>
      <c r="O201" s="473"/>
      <c r="P201" s="473"/>
      <c r="Q201" s="473"/>
      <c r="R201" s="473"/>
      <c r="S201" s="473"/>
      <c r="T201" s="473"/>
      <c r="U201" s="473"/>
      <c r="V201" s="473"/>
      <c r="W201" s="473"/>
    </row>
    <row r="202" spans="1:23" ht="11.25" hidden="1" customHeight="1" x14ac:dyDescent="0.2">
      <c r="A202" s="407">
        <f>'Org structure'!E30</f>
        <v>0</v>
      </c>
      <c r="B202" s="445"/>
      <c r="C202" s="394"/>
      <c r="D202" s="383"/>
      <c r="E202" s="384"/>
      <c r="F202" s="472"/>
      <c r="G202" s="384"/>
      <c r="H202" s="472"/>
      <c r="I202" s="44">
        <f t="shared" si="34"/>
        <v>0</v>
      </c>
      <c r="J202" s="330" t="str">
        <f t="shared" si="33"/>
        <v/>
      </c>
      <c r="K202" s="395"/>
      <c r="L202" s="48"/>
      <c r="M202" s="473"/>
      <c r="N202" s="473"/>
      <c r="O202" s="473"/>
      <c r="P202" s="473"/>
      <c r="Q202" s="473"/>
      <c r="R202" s="473"/>
      <c r="S202" s="473"/>
      <c r="T202" s="473"/>
      <c r="U202" s="473"/>
      <c r="V202" s="473"/>
      <c r="W202" s="473"/>
    </row>
    <row r="203" spans="1:23" ht="11.25" hidden="1" customHeight="1" x14ac:dyDescent="0.2">
      <c r="A203" s="407">
        <f>'Org structure'!E31</f>
        <v>0</v>
      </c>
      <c r="B203" s="445"/>
      <c r="C203" s="394"/>
      <c r="D203" s="383"/>
      <c r="E203" s="384"/>
      <c r="F203" s="472"/>
      <c r="G203" s="384"/>
      <c r="H203" s="472"/>
      <c r="I203" s="44">
        <f t="shared" si="34"/>
        <v>0</v>
      </c>
      <c r="J203" s="330" t="str">
        <f t="shared" si="33"/>
        <v/>
      </c>
      <c r="K203" s="395"/>
      <c r="L203" s="48"/>
      <c r="M203" s="473"/>
      <c r="N203" s="473"/>
      <c r="O203" s="473"/>
      <c r="P203" s="473"/>
      <c r="Q203" s="473"/>
      <c r="R203" s="473"/>
      <c r="S203" s="473"/>
      <c r="T203" s="473"/>
      <c r="U203" s="473"/>
      <c r="V203" s="473"/>
      <c r="W203" s="473"/>
    </row>
    <row r="204" spans="1:23" ht="11.25" hidden="1" customHeight="1" x14ac:dyDescent="0.2">
      <c r="A204" s="407">
        <f>'Org structure'!E32</f>
        <v>0</v>
      </c>
      <c r="B204" s="445"/>
      <c r="C204" s="394"/>
      <c r="D204" s="383"/>
      <c r="E204" s="384"/>
      <c r="F204" s="472"/>
      <c r="G204" s="384"/>
      <c r="H204" s="472"/>
      <c r="I204" s="44">
        <f t="shared" si="34"/>
        <v>0</v>
      </c>
      <c r="J204" s="330" t="str">
        <f t="shared" si="33"/>
        <v/>
      </c>
      <c r="K204" s="395"/>
      <c r="L204" s="48"/>
      <c r="M204" s="473"/>
      <c r="N204" s="473"/>
      <c r="O204" s="473"/>
      <c r="P204" s="473"/>
      <c r="Q204" s="473"/>
      <c r="R204" s="473"/>
      <c r="S204" s="473"/>
      <c r="T204" s="473"/>
      <c r="U204" s="473"/>
      <c r="V204" s="473"/>
      <c r="W204" s="473"/>
    </row>
    <row r="205" spans="1:23" ht="11.25" hidden="1" customHeight="1" x14ac:dyDescent="0.2">
      <c r="A205" s="407">
        <f>'Org structure'!E33</f>
        <v>0</v>
      </c>
      <c r="B205" s="445"/>
      <c r="C205" s="394"/>
      <c r="D205" s="383"/>
      <c r="E205" s="384"/>
      <c r="F205" s="472"/>
      <c r="G205" s="384"/>
      <c r="H205" s="472"/>
      <c r="I205" s="44">
        <f t="shared" si="34"/>
        <v>0</v>
      </c>
      <c r="J205" s="330" t="str">
        <f t="shared" si="33"/>
        <v/>
      </c>
      <c r="K205" s="395"/>
      <c r="L205" s="48"/>
      <c r="M205" s="473"/>
      <c r="N205" s="473"/>
      <c r="O205" s="473"/>
      <c r="P205" s="473"/>
      <c r="Q205" s="473"/>
      <c r="R205" s="473"/>
      <c r="S205" s="473"/>
      <c r="T205" s="473"/>
      <c r="U205" s="473"/>
      <c r="V205" s="473"/>
      <c r="W205" s="473"/>
    </row>
    <row r="206" spans="1:23" ht="11.25" hidden="1" customHeight="1" x14ac:dyDescent="0.2">
      <c r="A206" s="407">
        <f>'Org structure'!E34</f>
        <v>0</v>
      </c>
      <c r="B206" s="445"/>
      <c r="C206" s="394"/>
      <c r="D206" s="383"/>
      <c r="E206" s="384"/>
      <c r="F206" s="472"/>
      <c r="G206" s="384"/>
      <c r="H206" s="472"/>
      <c r="I206" s="44">
        <f t="shared" si="34"/>
        <v>0</v>
      </c>
      <c r="J206" s="330" t="str">
        <f t="shared" si="33"/>
        <v/>
      </c>
      <c r="K206" s="395"/>
      <c r="L206" s="48"/>
      <c r="M206" s="473"/>
      <c r="N206" s="473"/>
      <c r="O206" s="473"/>
      <c r="P206" s="473"/>
      <c r="Q206" s="473"/>
      <c r="R206" s="473"/>
      <c r="S206" s="473"/>
      <c r="T206" s="473"/>
      <c r="U206" s="473"/>
      <c r="V206" s="473"/>
      <c r="W206" s="473"/>
    </row>
    <row r="207" spans="1:23" ht="11.25" customHeight="1" x14ac:dyDescent="0.2">
      <c r="A207" s="466" t="str">
        <f>'Org structure'!A5</f>
        <v>Vote 4 - Corporate Services</v>
      </c>
      <c r="B207" s="440"/>
      <c r="C207" s="503">
        <f t="shared" ref="C207:K207" si="35">SUM(C208:C217)</f>
        <v>0</v>
      </c>
      <c r="D207" s="444">
        <f t="shared" si="35"/>
        <v>200548950.39124021</v>
      </c>
      <c r="E207" s="441">
        <f t="shared" si="35"/>
        <v>0</v>
      </c>
      <c r="F207" s="443">
        <f t="shared" si="35"/>
        <v>9442595.0699999966</v>
      </c>
      <c r="G207" s="441">
        <f t="shared" si="35"/>
        <v>28869997.650000006</v>
      </c>
      <c r="H207" s="443">
        <f t="shared" si="35"/>
        <v>50137237.597810052</v>
      </c>
      <c r="I207" s="44">
        <f t="shared" si="34"/>
        <v>-21267239.947810046</v>
      </c>
      <c r="J207" s="330">
        <f t="shared" si="33"/>
        <v>-0.42418052862048744</v>
      </c>
      <c r="K207" s="442">
        <f t="shared" si="35"/>
        <v>200548950.39124021</v>
      </c>
      <c r="L207" s="48"/>
      <c r="M207" s="473"/>
      <c r="N207" s="473"/>
      <c r="O207" s="473"/>
      <c r="P207" s="473"/>
      <c r="Q207" s="473"/>
      <c r="R207" s="473"/>
      <c r="S207" s="473"/>
      <c r="T207" s="473"/>
      <c r="U207" s="473"/>
      <c r="V207" s="473"/>
      <c r="W207" s="473"/>
    </row>
    <row r="208" spans="1:23" ht="11.25" customHeight="1" x14ac:dyDescent="0.2">
      <c r="A208" s="407" t="str">
        <f>'Org structure'!E36</f>
        <v>4.1 - Human Resources Management</v>
      </c>
      <c r="B208" s="445"/>
      <c r="C208" s="394"/>
      <c r="D208" s="383">
        <v>37102233.058023594</v>
      </c>
      <c r="E208" s="384"/>
      <c r="F208" s="472">
        <v>5681361.5599999959</v>
      </c>
      <c r="G208" s="384">
        <v>12689682.370000003</v>
      </c>
      <c r="H208" s="472">
        <f t="shared" ref="H208:H212" si="36">D208/12*3</f>
        <v>9275558.2645058986</v>
      </c>
      <c r="I208" s="44">
        <f t="shared" si="34"/>
        <v>3414124.1054941043</v>
      </c>
      <c r="J208" s="330">
        <f t="shared" si="33"/>
        <v>0.3680774793425301</v>
      </c>
      <c r="K208" s="395">
        <f>D208</f>
        <v>37102233.058023594</v>
      </c>
      <c r="L208" s="48"/>
      <c r="M208" s="473"/>
      <c r="N208" s="473"/>
      <c r="O208" s="473"/>
      <c r="P208" s="473"/>
      <c r="Q208" s="473"/>
      <c r="R208" s="473"/>
      <c r="S208" s="473"/>
      <c r="T208" s="473"/>
      <c r="U208" s="473"/>
      <c r="V208" s="473"/>
      <c r="W208" s="473"/>
    </row>
    <row r="209" spans="1:23" ht="11.25" customHeight="1" x14ac:dyDescent="0.2">
      <c r="A209" s="407" t="str">
        <f>'Org structure'!E37</f>
        <v>4.2 - Information Technology</v>
      </c>
      <c r="B209" s="445"/>
      <c r="C209" s="394"/>
      <c r="D209" s="383">
        <v>4306177.4291027384</v>
      </c>
      <c r="E209" s="384"/>
      <c r="F209" s="472">
        <v>806445.7300000001</v>
      </c>
      <c r="G209" s="384">
        <v>7449374.7400000012</v>
      </c>
      <c r="H209" s="472">
        <f t="shared" si="36"/>
        <v>1076544.3572756846</v>
      </c>
      <c r="I209" s="44">
        <f t="shared" si="34"/>
        <v>6372830.3827243168</v>
      </c>
      <c r="J209" s="330">
        <f t="shared" si="33"/>
        <v>5.9197099865457226</v>
      </c>
      <c r="K209" s="395">
        <f>D209</f>
        <v>4306177.4291027384</v>
      </c>
      <c r="L209" s="48"/>
      <c r="M209" s="473"/>
      <c r="N209" s="473"/>
      <c r="O209" s="473"/>
      <c r="P209" s="473"/>
      <c r="Q209" s="473"/>
      <c r="R209" s="473"/>
      <c r="S209" s="473"/>
      <c r="T209" s="473"/>
      <c r="U209" s="473"/>
      <c r="V209" s="473"/>
      <c r="W209" s="473"/>
    </row>
    <row r="210" spans="1:23" ht="11.25" customHeight="1" x14ac:dyDescent="0.2">
      <c r="A210" s="407" t="str">
        <f>'Org structure'!E38</f>
        <v>4.3 - Legal Services</v>
      </c>
      <c r="B210" s="445"/>
      <c r="C210" s="394"/>
      <c r="D210" s="383">
        <v>117626955.29173322</v>
      </c>
      <c r="E210" s="384"/>
      <c r="F210" s="472">
        <v>891920.89</v>
      </c>
      <c r="G210" s="384">
        <v>2409396.5099999998</v>
      </c>
      <c r="H210" s="472">
        <f t="shared" si="36"/>
        <v>29406738.822933301</v>
      </c>
      <c r="I210" s="44">
        <f t="shared" si="34"/>
        <v>-26997342.312933303</v>
      </c>
      <c r="J210" s="330">
        <f t="shared" si="33"/>
        <v>-0.91806651786491222</v>
      </c>
      <c r="K210" s="395">
        <f>D210</f>
        <v>117626955.29173322</v>
      </c>
      <c r="L210" s="48"/>
      <c r="M210" s="473"/>
      <c r="N210" s="473"/>
      <c r="O210" s="473"/>
      <c r="P210" s="473"/>
      <c r="Q210" s="473"/>
      <c r="R210" s="473"/>
      <c r="S210" s="473"/>
      <c r="T210" s="473"/>
      <c r="U210" s="473"/>
      <c r="V210" s="473"/>
      <c r="W210" s="473"/>
    </row>
    <row r="211" spans="1:23" ht="11.25" customHeight="1" x14ac:dyDescent="0.2">
      <c r="A211" s="407" t="str">
        <f>'Org structure'!E39</f>
        <v>4.4 - Secretariat and Auxiliary Services</v>
      </c>
      <c r="B211" s="445"/>
      <c r="C211" s="394"/>
      <c r="D211" s="383">
        <v>30502399.44295308</v>
      </c>
      <c r="E211" s="384"/>
      <c r="F211" s="472">
        <v>1832981.5400000003</v>
      </c>
      <c r="G211" s="384">
        <v>5634606.6200000001</v>
      </c>
      <c r="H211" s="472">
        <f t="shared" si="36"/>
        <v>7625599.86073827</v>
      </c>
      <c r="I211" s="44">
        <f t="shared" si="34"/>
        <v>-1990993.2407382699</v>
      </c>
      <c r="J211" s="330">
        <f t="shared" si="33"/>
        <v>-0.26109332735766083</v>
      </c>
      <c r="K211" s="395">
        <f>D211</f>
        <v>30502399.44295308</v>
      </c>
      <c r="L211" s="48"/>
      <c r="M211" s="473"/>
      <c r="N211" s="473"/>
      <c r="O211" s="473"/>
      <c r="P211" s="473"/>
      <c r="Q211" s="473"/>
      <c r="R211" s="473"/>
      <c r="S211" s="473"/>
      <c r="T211" s="473"/>
      <c r="U211" s="473"/>
      <c r="V211" s="473"/>
      <c r="W211" s="473"/>
    </row>
    <row r="212" spans="1:23" ht="11.25" customHeight="1" x14ac:dyDescent="0.2">
      <c r="A212" s="407" t="str">
        <f>'Org structure'!E40</f>
        <v>4.5 - General Manager: Corporate Service</v>
      </c>
      <c r="B212" s="445"/>
      <c r="C212" s="394"/>
      <c r="D212" s="383">
        <v>11011185.169427564</v>
      </c>
      <c r="E212" s="384"/>
      <c r="F212" s="472">
        <v>229885.35</v>
      </c>
      <c r="G212" s="384">
        <v>686937.41</v>
      </c>
      <c r="H212" s="472">
        <f t="shared" si="36"/>
        <v>2752796.2923568911</v>
      </c>
      <c r="I212" s="44">
        <f t="shared" si="34"/>
        <v>-2065858.8823568909</v>
      </c>
      <c r="J212" s="330">
        <f t="shared" si="33"/>
        <v>-0.75045832054217942</v>
      </c>
      <c r="K212" s="395">
        <f>D212</f>
        <v>11011185.169427564</v>
      </c>
      <c r="L212" s="48"/>
      <c r="M212" s="473"/>
      <c r="N212" s="473"/>
      <c r="O212" s="473"/>
      <c r="P212" s="473"/>
      <c r="Q212" s="473"/>
      <c r="R212" s="473"/>
      <c r="S212" s="473"/>
      <c r="T212" s="473"/>
      <c r="U212" s="473"/>
      <c r="V212" s="473"/>
      <c r="W212" s="473"/>
    </row>
    <row r="213" spans="1:23" ht="11.25" hidden="1" customHeight="1" x14ac:dyDescent="0.2">
      <c r="A213" s="407">
        <f>'Org structure'!E41</f>
        <v>0</v>
      </c>
      <c r="B213" s="445"/>
      <c r="C213" s="394"/>
      <c r="D213" s="383"/>
      <c r="E213" s="384"/>
      <c r="F213" s="472"/>
      <c r="G213" s="384"/>
      <c r="H213" s="472"/>
      <c r="I213" s="44">
        <f t="shared" si="34"/>
        <v>0</v>
      </c>
      <c r="J213" s="330" t="str">
        <f t="shared" si="33"/>
        <v/>
      </c>
      <c r="K213" s="395"/>
      <c r="L213" s="48"/>
      <c r="M213" s="473"/>
      <c r="N213" s="473"/>
      <c r="O213" s="473"/>
      <c r="P213" s="473"/>
      <c r="Q213" s="473"/>
      <c r="R213" s="473"/>
      <c r="S213" s="473"/>
      <c r="T213" s="473"/>
      <c r="U213" s="473"/>
      <c r="V213" s="473"/>
      <c r="W213" s="473"/>
    </row>
    <row r="214" spans="1:23" ht="11.25" hidden="1" customHeight="1" x14ac:dyDescent="0.2">
      <c r="A214" s="407">
        <f>'Org structure'!E42</f>
        <v>0</v>
      </c>
      <c r="B214" s="445"/>
      <c r="C214" s="394"/>
      <c r="D214" s="383"/>
      <c r="E214" s="384"/>
      <c r="F214" s="472"/>
      <c r="G214" s="384"/>
      <c r="H214" s="472"/>
      <c r="I214" s="44">
        <f t="shared" si="34"/>
        <v>0</v>
      </c>
      <c r="J214" s="330" t="str">
        <f t="shared" si="33"/>
        <v/>
      </c>
      <c r="K214" s="395"/>
      <c r="L214" s="48"/>
      <c r="M214" s="473"/>
      <c r="N214" s="473"/>
      <c r="O214" s="473"/>
      <c r="P214" s="473"/>
      <c r="Q214" s="473"/>
      <c r="R214" s="473"/>
      <c r="S214" s="473"/>
      <c r="T214" s="473"/>
      <c r="U214" s="473"/>
      <c r="V214" s="473"/>
      <c r="W214" s="473"/>
    </row>
    <row r="215" spans="1:23" ht="11.25" hidden="1" customHeight="1" x14ac:dyDescent="0.2">
      <c r="A215" s="407">
        <f>'Org structure'!E43</f>
        <v>0</v>
      </c>
      <c r="B215" s="445"/>
      <c r="C215" s="394"/>
      <c r="D215" s="383"/>
      <c r="E215" s="384"/>
      <c r="F215" s="472"/>
      <c r="G215" s="384"/>
      <c r="H215" s="472"/>
      <c r="I215" s="44">
        <f t="shared" si="34"/>
        <v>0</v>
      </c>
      <c r="J215" s="330" t="str">
        <f t="shared" si="33"/>
        <v/>
      </c>
      <c r="K215" s="395"/>
      <c r="L215" s="48"/>
      <c r="M215" s="473"/>
      <c r="N215" s="473"/>
      <c r="O215" s="473"/>
      <c r="P215" s="473"/>
      <c r="Q215" s="473"/>
      <c r="R215" s="473"/>
      <c r="S215" s="473"/>
      <c r="T215" s="473"/>
      <c r="U215" s="473"/>
      <c r="V215" s="473"/>
      <c r="W215" s="473"/>
    </row>
    <row r="216" spans="1:23" ht="11.25" hidden="1" customHeight="1" x14ac:dyDescent="0.2">
      <c r="A216" s="407">
        <f>'Org structure'!E44</f>
        <v>0</v>
      </c>
      <c r="B216" s="445"/>
      <c r="C216" s="394"/>
      <c r="D216" s="383"/>
      <c r="E216" s="384"/>
      <c r="F216" s="472"/>
      <c r="G216" s="384"/>
      <c r="H216" s="472"/>
      <c r="I216" s="44">
        <f t="shared" si="34"/>
        <v>0</v>
      </c>
      <c r="J216" s="330" t="str">
        <f t="shared" si="33"/>
        <v/>
      </c>
      <c r="K216" s="395"/>
      <c r="L216" s="48"/>
      <c r="M216" s="473"/>
      <c r="N216" s="473"/>
      <c r="O216" s="473"/>
      <c r="P216" s="473"/>
      <c r="Q216" s="473"/>
      <c r="R216" s="473"/>
      <c r="S216" s="473"/>
      <c r="T216" s="473"/>
      <c r="U216" s="473"/>
      <c r="V216" s="473"/>
      <c r="W216" s="473"/>
    </row>
    <row r="217" spans="1:23" ht="11.25" hidden="1" customHeight="1" x14ac:dyDescent="0.2">
      <c r="A217" s="407">
        <f>'Org structure'!E45</f>
        <v>0</v>
      </c>
      <c r="B217" s="445"/>
      <c r="C217" s="394"/>
      <c r="D217" s="383"/>
      <c r="E217" s="384"/>
      <c r="F217" s="472"/>
      <c r="G217" s="384"/>
      <c r="H217" s="472"/>
      <c r="I217" s="44">
        <f t="shared" si="34"/>
        <v>0</v>
      </c>
      <c r="J217" s="330" t="str">
        <f t="shared" si="33"/>
        <v/>
      </c>
      <c r="K217" s="395"/>
      <c r="L217" s="48"/>
      <c r="M217" s="473"/>
      <c r="N217" s="473"/>
      <c r="O217" s="473"/>
      <c r="P217" s="473"/>
      <c r="Q217" s="473"/>
      <c r="R217" s="473"/>
      <c r="S217" s="473"/>
      <c r="T217" s="473"/>
      <c r="U217" s="473"/>
      <c r="V217" s="473"/>
      <c r="W217" s="473"/>
    </row>
    <row r="218" spans="1:23" ht="11.25" customHeight="1" x14ac:dyDescent="0.2">
      <c r="A218" s="466" t="str">
        <f>'Org structure'!A6</f>
        <v>Vote 5 - Infrastructure Services</v>
      </c>
      <c r="B218" s="440"/>
      <c r="C218" s="503">
        <f t="shared" ref="C218:K218" si="37">SUM(C219:C228)</f>
        <v>0</v>
      </c>
      <c r="D218" s="444">
        <f t="shared" si="37"/>
        <v>3393288719.277081</v>
      </c>
      <c r="E218" s="441">
        <f t="shared" si="37"/>
        <v>0</v>
      </c>
      <c r="F218" s="443">
        <f t="shared" si="37"/>
        <v>603661675.8599999</v>
      </c>
      <c r="G218" s="441">
        <f t="shared" si="37"/>
        <v>1104833146.7299995</v>
      </c>
      <c r="H218" s="443">
        <f t="shared" si="37"/>
        <v>848322179.81927025</v>
      </c>
      <c r="I218" s="44">
        <f t="shared" si="34"/>
        <v>256510966.91072929</v>
      </c>
      <c r="J218" s="330">
        <f t="shared" si="33"/>
        <v>0.302374466933515</v>
      </c>
      <c r="K218" s="442">
        <f t="shared" si="37"/>
        <v>3393288719.277081</v>
      </c>
      <c r="L218" s="48"/>
      <c r="M218" s="473"/>
      <c r="N218" s="473"/>
      <c r="O218" s="473"/>
      <c r="P218" s="473"/>
      <c r="Q218" s="473"/>
      <c r="R218" s="473"/>
      <c r="S218" s="473"/>
      <c r="T218" s="473"/>
      <c r="U218" s="473"/>
      <c r="V218" s="473"/>
      <c r="W218" s="473"/>
    </row>
    <row r="219" spans="1:23" ht="11.25" customHeight="1" x14ac:dyDescent="0.2">
      <c r="A219" s="407" t="str">
        <f>'Org structure'!E47</f>
        <v>5.1 - Electricity</v>
      </c>
      <c r="B219" s="445"/>
      <c r="C219" s="394"/>
      <c r="D219" s="383">
        <v>1955147194.4755206</v>
      </c>
      <c r="E219" s="384"/>
      <c r="F219" s="472">
        <v>482416758.94</v>
      </c>
      <c r="G219" s="384">
        <v>770625030.42999971</v>
      </c>
      <c r="H219" s="472">
        <f t="shared" ref="H219:H223" si="38">D219/12*3</f>
        <v>488786798.61888015</v>
      </c>
      <c r="I219" s="44">
        <f t="shared" si="34"/>
        <v>281838231.81111956</v>
      </c>
      <c r="J219" s="330">
        <f t="shared" si="33"/>
        <v>0.57660770014141927</v>
      </c>
      <c r="K219" s="395">
        <f>D219</f>
        <v>1955147194.4755206</v>
      </c>
      <c r="L219" s="48"/>
      <c r="M219" s="473"/>
      <c r="N219" s="473"/>
      <c r="O219" s="473"/>
      <c r="P219" s="473"/>
      <c r="Q219" s="473"/>
      <c r="R219" s="473"/>
      <c r="S219" s="473"/>
      <c r="T219" s="473"/>
      <c r="U219" s="473"/>
      <c r="V219" s="473"/>
      <c r="W219" s="473"/>
    </row>
    <row r="220" spans="1:23" ht="11.25" customHeight="1" x14ac:dyDescent="0.2">
      <c r="A220" s="407" t="str">
        <f>'Org structure'!E48</f>
        <v>5.2 - Project Management Office</v>
      </c>
      <c r="B220" s="445"/>
      <c r="C220" s="394"/>
      <c r="D220" s="383">
        <v>56522646.802353732</v>
      </c>
      <c r="E220" s="384"/>
      <c r="F220" s="472">
        <v>1023167.24</v>
      </c>
      <c r="G220" s="384">
        <v>2668803.52</v>
      </c>
      <c r="H220" s="472">
        <f t="shared" si="38"/>
        <v>14130661.700588435</v>
      </c>
      <c r="I220" s="44">
        <f t="shared" si="34"/>
        <v>-11461858.180588435</v>
      </c>
      <c r="J220" s="330">
        <f t="shared" si="33"/>
        <v>-0.81113386078099481</v>
      </c>
      <c r="K220" s="395">
        <f>D220</f>
        <v>56522646.802353732</v>
      </c>
      <c r="L220" s="48"/>
      <c r="M220" s="473"/>
      <c r="N220" s="473"/>
      <c r="O220" s="473"/>
      <c r="P220" s="473"/>
      <c r="Q220" s="473"/>
      <c r="R220" s="473"/>
      <c r="S220" s="473"/>
      <c r="T220" s="473"/>
      <c r="U220" s="473"/>
      <c r="V220" s="473"/>
      <c r="W220" s="473"/>
    </row>
    <row r="221" spans="1:23" ht="11.25" customHeight="1" x14ac:dyDescent="0.2">
      <c r="A221" s="407" t="str">
        <f>'Org structure'!E49</f>
        <v>5.3 - Roads and Transportation</v>
      </c>
      <c r="B221" s="445"/>
      <c r="C221" s="394"/>
      <c r="D221" s="383">
        <v>94562737.919352904</v>
      </c>
      <c r="E221" s="384"/>
      <c r="F221" s="472">
        <v>20961541.329999983</v>
      </c>
      <c r="G221" s="384">
        <v>59047026.68</v>
      </c>
      <c r="H221" s="472">
        <f t="shared" si="38"/>
        <v>23640684.479838226</v>
      </c>
      <c r="I221" s="44">
        <f t="shared" si="34"/>
        <v>35406342.20016177</v>
      </c>
      <c r="J221" s="330">
        <f t="shared" si="33"/>
        <v>1.4976868470266922</v>
      </c>
      <c r="K221" s="395">
        <f>D221</f>
        <v>94562737.919352904</v>
      </c>
      <c r="L221" s="48"/>
      <c r="M221" s="473"/>
      <c r="N221" s="473"/>
      <c r="O221" s="473"/>
      <c r="P221" s="473"/>
      <c r="Q221" s="473"/>
      <c r="R221" s="473"/>
      <c r="S221" s="473"/>
      <c r="T221" s="473"/>
      <c r="U221" s="473"/>
      <c r="V221" s="473"/>
      <c r="W221" s="473"/>
    </row>
    <row r="222" spans="1:23" ht="11.25" customHeight="1" x14ac:dyDescent="0.2">
      <c r="A222" s="407" t="str">
        <f>'Org structure'!E50</f>
        <v>5.4 - Water and Sanitation</v>
      </c>
      <c r="B222" s="445"/>
      <c r="C222" s="394"/>
      <c r="D222" s="383">
        <v>1266789806.54597</v>
      </c>
      <c r="E222" s="384"/>
      <c r="F222" s="472">
        <v>99180602.319999993</v>
      </c>
      <c r="G222" s="384">
        <v>272253422.25000006</v>
      </c>
      <c r="H222" s="472">
        <f t="shared" si="38"/>
        <v>316697451.63649249</v>
      </c>
      <c r="I222" s="44">
        <f t="shared" si="34"/>
        <v>-44444029.386492431</v>
      </c>
      <c r="J222" s="330">
        <f t="shared" si="33"/>
        <v>-0.14033592362942532</v>
      </c>
      <c r="K222" s="395">
        <f>D222</f>
        <v>1266789806.54597</v>
      </c>
      <c r="L222" s="48"/>
      <c r="M222" s="473"/>
      <c r="N222" s="473"/>
      <c r="O222" s="473"/>
      <c r="P222" s="473"/>
      <c r="Q222" s="473"/>
      <c r="R222" s="473"/>
      <c r="S222" s="473"/>
      <c r="T222" s="473"/>
      <c r="U222" s="473"/>
      <c r="V222" s="473"/>
      <c r="W222" s="473"/>
    </row>
    <row r="223" spans="1:23" ht="11.25" customHeight="1" x14ac:dyDescent="0.2">
      <c r="A223" s="407" t="str">
        <f>'Org structure'!E51</f>
        <v xml:space="preserve">5.5 - General Manager: Infrastructure </v>
      </c>
      <c r="B223" s="445"/>
      <c r="C223" s="394"/>
      <c r="D223" s="383">
        <v>20266333.533883527</v>
      </c>
      <c r="E223" s="384"/>
      <c r="F223" s="472">
        <v>79606.03</v>
      </c>
      <c r="G223" s="384">
        <v>238863.85000000003</v>
      </c>
      <c r="H223" s="472">
        <f t="shared" si="38"/>
        <v>5066583.3834708817</v>
      </c>
      <c r="I223" s="44">
        <f t="shared" si="34"/>
        <v>-4827719.5334708821</v>
      </c>
      <c r="J223" s="330">
        <f t="shared" si="33"/>
        <v>-0.95285504413501532</v>
      </c>
      <c r="K223" s="395">
        <f>D223</f>
        <v>20266333.533883527</v>
      </c>
      <c r="L223" s="48"/>
      <c r="M223" s="473"/>
      <c r="N223" s="473"/>
      <c r="O223" s="473"/>
      <c r="P223" s="473"/>
      <c r="Q223" s="473"/>
      <c r="R223" s="473"/>
      <c r="S223" s="473"/>
      <c r="T223" s="473"/>
      <c r="U223" s="473"/>
      <c r="V223" s="473"/>
      <c r="W223" s="473"/>
    </row>
    <row r="224" spans="1:23" ht="11.25" hidden="1" customHeight="1" x14ac:dyDescent="0.2">
      <c r="A224" s="407">
        <f>'Org structure'!E52</f>
        <v>0</v>
      </c>
      <c r="B224" s="445"/>
      <c r="C224" s="394"/>
      <c r="D224" s="383"/>
      <c r="E224" s="384"/>
      <c r="F224" s="472"/>
      <c r="G224" s="384"/>
      <c r="H224" s="472"/>
      <c r="I224" s="44">
        <f t="shared" si="34"/>
        <v>0</v>
      </c>
      <c r="J224" s="330" t="str">
        <f t="shared" si="33"/>
        <v/>
      </c>
      <c r="K224" s="395"/>
      <c r="L224" s="48"/>
      <c r="M224" s="473"/>
      <c r="N224" s="473"/>
      <c r="O224" s="473"/>
      <c r="P224" s="473"/>
      <c r="Q224" s="473"/>
      <c r="R224" s="473"/>
      <c r="S224" s="473"/>
      <c r="T224" s="473"/>
      <c r="U224" s="473"/>
      <c r="V224" s="473"/>
      <c r="W224" s="473"/>
    </row>
    <row r="225" spans="1:23" ht="11.25" hidden="1" customHeight="1" x14ac:dyDescent="0.2">
      <c r="A225" s="407">
        <f>'Org structure'!E53</f>
        <v>0</v>
      </c>
      <c r="B225" s="445"/>
      <c r="C225" s="394"/>
      <c r="D225" s="383"/>
      <c r="E225" s="384"/>
      <c r="F225" s="472"/>
      <c r="G225" s="384"/>
      <c r="H225" s="472"/>
      <c r="I225" s="44">
        <f t="shared" si="34"/>
        <v>0</v>
      </c>
      <c r="J225" s="330" t="str">
        <f t="shared" si="33"/>
        <v/>
      </c>
      <c r="K225" s="395"/>
      <c r="L225" s="48"/>
      <c r="M225" s="473"/>
      <c r="N225" s="473"/>
      <c r="O225" s="473"/>
      <c r="P225" s="473"/>
      <c r="Q225" s="473"/>
      <c r="R225" s="473"/>
      <c r="S225" s="473"/>
      <c r="T225" s="473"/>
      <c r="U225" s="473"/>
      <c r="V225" s="473"/>
      <c r="W225" s="473"/>
    </row>
    <row r="226" spans="1:23" ht="11.25" hidden="1" customHeight="1" x14ac:dyDescent="0.2">
      <c r="A226" s="407">
        <f>'Org structure'!E54</f>
        <v>0</v>
      </c>
      <c r="B226" s="445"/>
      <c r="C226" s="394"/>
      <c r="D226" s="383"/>
      <c r="E226" s="384"/>
      <c r="F226" s="472"/>
      <c r="G226" s="384"/>
      <c r="H226" s="472"/>
      <c r="I226" s="44">
        <f t="shared" si="34"/>
        <v>0</v>
      </c>
      <c r="J226" s="330" t="str">
        <f t="shared" si="33"/>
        <v/>
      </c>
      <c r="K226" s="395"/>
      <c r="L226" s="48"/>
      <c r="M226" s="473"/>
      <c r="N226" s="473"/>
      <c r="O226" s="473"/>
      <c r="P226" s="473"/>
      <c r="Q226" s="473"/>
      <c r="R226" s="473"/>
      <c r="S226" s="473"/>
      <c r="T226" s="473"/>
      <c r="U226" s="473"/>
      <c r="V226" s="473"/>
      <c r="W226" s="473"/>
    </row>
    <row r="227" spans="1:23" ht="11.25" hidden="1" customHeight="1" x14ac:dyDescent="0.2">
      <c r="A227" s="407">
        <f>'Org structure'!E55</f>
        <v>0</v>
      </c>
      <c r="B227" s="445"/>
      <c r="C227" s="394"/>
      <c r="D227" s="383"/>
      <c r="E227" s="384"/>
      <c r="F227" s="472"/>
      <c r="G227" s="384"/>
      <c r="H227" s="472"/>
      <c r="I227" s="44">
        <f t="shared" si="34"/>
        <v>0</v>
      </c>
      <c r="J227" s="330" t="str">
        <f t="shared" si="33"/>
        <v/>
      </c>
      <c r="K227" s="395"/>
      <c r="L227" s="48"/>
      <c r="M227" s="473"/>
      <c r="N227" s="473"/>
      <c r="O227" s="473"/>
      <c r="P227" s="473"/>
      <c r="Q227" s="473"/>
      <c r="R227" s="473"/>
      <c r="S227" s="473"/>
      <c r="T227" s="473"/>
      <c r="U227" s="473"/>
      <c r="V227" s="473"/>
      <c r="W227" s="473"/>
    </row>
    <row r="228" spans="1:23" ht="11.25" hidden="1" customHeight="1" x14ac:dyDescent="0.2">
      <c r="A228" s="407">
        <f>'Org structure'!E56</f>
        <v>0</v>
      </c>
      <c r="B228" s="445"/>
      <c r="C228" s="394"/>
      <c r="D228" s="383"/>
      <c r="E228" s="384"/>
      <c r="F228" s="472"/>
      <c r="G228" s="384"/>
      <c r="H228" s="472"/>
      <c r="I228" s="44">
        <f t="shared" si="34"/>
        <v>0</v>
      </c>
      <c r="J228" s="330" t="str">
        <f t="shared" si="33"/>
        <v/>
      </c>
      <c r="K228" s="395"/>
      <c r="L228" s="48"/>
      <c r="M228" s="473"/>
      <c r="N228" s="473"/>
      <c r="O228" s="473"/>
      <c r="P228" s="473"/>
      <c r="Q228" s="473"/>
      <c r="R228" s="473"/>
      <c r="S228" s="473"/>
      <c r="T228" s="473"/>
      <c r="U228" s="473"/>
      <c r="V228" s="473"/>
      <c r="W228" s="473"/>
    </row>
    <row r="229" spans="1:23" ht="11.25" customHeight="1" x14ac:dyDescent="0.2">
      <c r="A229" s="466" t="str">
        <f>'Org structure'!A7</f>
        <v>Vote 6 - Sustainable Development and City Enterprises</v>
      </c>
      <c r="B229" s="440"/>
      <c r="C229" s="503">
        <f t="shared" ref="C229:K229" si="39">SUM(C230:C239)</f>
        <v>0</v>
      </c>
      <c r="D229" s="444">
        <f t="shared" si="39"/>
        <v>296205168.59786338</v>
      </c>
      <c r="E229" s="441">
        <f t="shared" si="39"/>
        <v>0</v>
      </c>
      <c r="F229" s="443">
        <f t="shared" si="39"/>
        <v>21248733.289999988</v>
      </c>
      <c r="G229" s="441">
        <f t="shared" si="39"/>
        <v>49050019.450000152</v>
      </c>
      <c r="H229" s="443">
        <f t="shared" si="39"/>
        <v>74051292.149465844</v>
      </c>
      <c r="I229" s="44">
        <f t="shared" si="34"/>
        <v>-25001272.699465692</v>
      </c>
      <c r="J229" s="330">
        <f t="shared" si="33"/>
        <v>-0.33762101880684109</v>
      </c>
      <c r="K229" s="442">
        <f t="shared" si="39"/>
        <v>296205168.59786338</v>
      </c>
      <c r="L229" s="48"/>
      <c r="M229" s="473"/>
      <c r="N229" s="473"/>
      <c r="O229" s="473"/>
      <c r="P229" s="473"/>
      <c r="Q229" s="473"/>
      <c r="R229" s="473"/>
      <c r="S229" s="473"/>
      <c r="T229" s="473"/>
      <c r="U229" s="473"/>
      <c r="V229" s="473"/>
      <c r="W229" s="473"/>
    </row>
    <row r="230" spans="1:23" ht="11.25" customHeight="1" x14ac:dyDescent="0.2">
      <c r="A230" s="407" t="str">
        <f>'Org structure'!E58</f>
        <v>6.1 - City Entities</v>
      </c>
      <c r="B230" s="445"/>
      <c r="C230" s="394"/>
      <c r="D230" s="383">
        <v>296205168.59786338</v>
      </c>
      <c r="E230" s="384"/>
      <c r="F230" s="472">
        <v>10564685.059999987</v>
      </c>
      <c r="G230" s="384">
        <v>19336025.980000149</v>
      </c>
      <c r="H230" s="472">
        <f t="shared" ref="H230" si="40">D230/12*3</f>
        <v>74051292.149465844</v>
      </c>
      <c r="I230" s="44">
        <f t="shared" si="34"/>
        <v>-54715266.169465691</v>
      </c>
      <c r="J230" s="330">
        <f t="shared" si="33"/>
        <v>-0.73888334127955346</v>
      </c>
      <c r="K230" s="395">
        <f>D230</f>
        <v>296205168.59786338</v>
      </c>
      <c r="L230" s="48"/>
      <c r="M230" s="473"/>
      <c r="N230" s="473"/>
      <c r="O230" s="473"/>
      <c r="P230" s="473"/>
      <c r="Q230" s="473"/>
      <c r="R230" s="473"/>
      <c r="S230" s="473"/>
      <c r="T230" s="473"/>
      <c r="U230" s="473"/>
      <c r="V230" s="473"/>
      <c r="W230" s="473"/>
    </row>
    <row r="231" spans="1:23" ht="11.25" customHeight="1" x14ac:dyDescent="0.2">
      <c r="A231" s="407" t="str">
        <f>'Org structure'!E59</f>
        <v>6.2 - Development Services</v>
      </c>
      <c r="B231" s="445"/>
      <c r="C231" s="394"/>
      <c r="D231" s="383"/>
      <c r="E231" s="384"/>
      <c r="F231" s="472">
        <v>553374.30000000005</v>
      </c>
      <c r="G231" s="384">
        <v>1603654.34</v>
      </c>
      <c r="H231" s="742"/>
      <c r="I231" s="44">
        <f t="shared" si="34"/>
        <v>1603654.34</v>
      </c>
      <c r="J231" s="330" t="e">
        <f t="shared" si="33"/>
        <v>#DIV/0!</v>
      </c>
      <c r="K231" s="395"/>
      <c r="L231" s="48"/>
      <c r="M231" s="473"/>
      <c r="N231" s="473"/>
      <c r="O231" s="473"/>
      <c r="P231" s="473"/>
      <c r="Q231" s="473"/>
      <c r="R231" s="473"/>
      <c r="S231" s="473"/>
      <c r="T231" s="473"/>
      <c r="U231" s="473"/>
      <c r="V231" s="473"/>
      <c r="W231" s="473"/>
    </row>
    <row r="232" spans="1:23" ht="11.25" customHeight="1" x14ac:dyDescent="0.2">
      <c r="A232" s="407" t="str">
        <f>'Org structure'!E60</f>
        <v>6.3 - Human Settlement Development</v>
      </c>
      <c r="B232" s="445"/>
      <c r="C232" s="394"/>
      <c r="D232" s="383"/>
      <c r="E232" s="384"/>
      <c r="F232" s="472">
        <v>4124761.9600000004</v>
      </c>
      <c r="G232" s="384">
        <v>10275218.000000004</v>
      </c>
      <c r="H232" s="742"/>
      <c r="I232" s="44">
        <f t="shared" si="34"/>
        <v>10275218.000000004</v>
      </c>
      <c r="J232" s="330" t="e">
        <f t="shared" si="33"/>
        <v>#DIV/0!</v>
      </c>
      <c r="K232" s="395"/>
      <c r="L232" s="48"/>
      <c r="M232" s="473"/>
      <c r="N232" s="473"/>
      <c r="O232" s="473"/>
      <c r="P232" s="473"/>
      <c r="Q232" s="473"/>
      <c r="R232" s="473"/>
      <c r="S232" s="473"/>
      <c r="T232" s="473"/>
      <c r="U232" s="473"/>
      <c r="V232" s="473"/>
      <c r="W232" s="473"/>
    </row>
    <row r="233" spans="1:23" ht="11.25" customHeight="1" x14ac:dyDescent="0.2">
      <c r="A233" s="407" t="str">
        <f>'Org structure'!E61</f>
        <v>6.4 - Town Planning</v>
      </c>
      <c r="B233" s="445"/>
      <c r="C233" s="394"/>
      <c r="D233" s="383"/>
      <c r="E233" s="384"/>
      <c r="F233" s="472">
        <v>5860220.129999998</v>
      </c>
      <c r="G233" s="384">
        <v>17399517.41</v>
      </c>
      <c r="H233" s="742"/>
      <c r="I233" s="44">
        <f t="shared" si="34"/>
        <v>17399517.41</v>
      </c>
      <c r="J233" s="330" t="e">
        <f t="shared" si="33"/>
        <v>#DIV/0!</v>
      </c>
      <c r="K233" s="395"/>
      <c r="L233" s="48"/>
      <c r="M233" s="473"/>
      <c r="N233" s="473"/>
      <c r="O233" s="473"/>
      <c r="P233" s="473"/>
      <c r="Q233" s="473"/>
      <c r="R233" s="473"/>
      <c r="S233" s="473"/>
      <c r="T233" s="473"/>
      <c r="U233" s="473"/>
      <c r="V233" s="473"/>
      <c r="W233" s="473"/>
    </row>
    <row r="234" spans="1:23" ht="11.25" customHeight="1" x14ac:dyDescent="0.2">
      <c r="A234" s="407" t="str">
        <f>'Org structure'!E62</f>
        <v>6.5 - General Manager: Sustainable Development and City Enterprises</v>
      </c>
      <c r="B234" s="445"/>
      <c r="C234" s="394"/>
      <c r="D234" s="383"/>
      <c r="E234" s="384"/>
      <c r="F234" s="472">
        <v>145691.83999999997</v>
      </c>
      <c r="G234" s="384">
        <v>435603.72</v>
      </c>
      <c r="H234" s="742"/>
      <c r="I234" s="44">
        <f t="shared" si="34"/>
        <v>435603.72</v>
      </c>
      <c r="J234" s="330" t="e">
        <f t="shared" si="33"/>
        <v>#DIV/0!</v>
      </c>
      <c r="K234" s="395"/>
      <c r="L234" s="48"/>
      <c r="M234" s="473"/>
      <c r="N234" s="473"/>
      <c r="O234" s="473"/>
      <c r="P234" s="473"/>
      <c r="Q234" s="473"/>
      <c r="R234" s="473"/>
      <c r="S234" s="473"/>
      <c r="T234" s="473"/>
      <c r="U234" s="473"/>
      <c r="V234" s="473"/>
      <c r="W234" s="473"/>
    </row>
    <row r="235" spans="1:23" ht="11.25" hidden="1" customHeight="1" x14ac:dyDescent="0.2">
      <c r="A235" s="407">
        <f>'Org structure'!E63</f>
        <v>0</v>
      </c>
      <c r="B235" s="445"/>
      <c r="C235" s="394"/>
      <c r="D235" s="383"/>
      <c r="E235" s="384"/>
      <c r="F235" s="472"/>
      <c r="G235" s="384"/>
      <c r="H235" s="472"/>
      <c r="I235" s="44">
        <f t="shared" si="34"/>
        <v>0</v>
      </c>
      <c r="J235" s="330" t="str">
        <f t="shared" si="33"/>
        <v/>
      </c>
      <c r="K235" s="395"/>
      <c r="L235" s="48"/>
      <c r="M235" s="473"/>
      <c r="N235" s="473"/>
      <c r="O235" s="473"/>
      <c r="P235" s="473"/>
      <c r="Q235" s="473"/>
      <c r="R235" s="473"/>
      <c r="S235" s="473"/>
      <c r="T235" s="473"/>
      <c r="U235" s="473"/>
      <c r="V235" s="473"/>
      <c r="W235" s="473"/>
    </row>
    <row r="236" spans="1:23" ht="11.25" hidden="1" customHeight="1" x14ac:dyDescent="0.2">
      <c r="A236" s="407">
        <f>'Org structure'!E64</f>
        <v>0</v>
      </c>
      <c r="B236" s="445"/>
      <c r="C236" s="394"/>
      <c r="D236" s="383"/>
      <c r="E236" s="384"/>
      <c r="F236" s="472"/>
      <c r="G236" s="384"/>
      <c r="H236" s="472"/>
      <c r="I236" s="44">
        <f t="shared" si="34"/>
        <v>0</v>
      </c>
      <c r="J236" s="330" t="str">
        <f t="shared" si="33"/>
        <v/>
      </c>
      <c r="K236" s="395"/>
      <c r="L236" s="48"/>
      <c r="M236" s="473"/>
      <c r="N236" s="473"/>
      <c r="O236" s="473"/>
      <c r="P236" s="473"/>
      <c r="Q236" s="473"/>
      <c r="R236" s="473"/>
      <c r="S236" s="473"/>
      <c r="T236" s="473"/>
      <c r="U236" s="473"/>
      <c r="V236" s="473"/>
      <c r="W236" s="473"/>
    </row>
    <row r="237" spans="1:23" ht="11.25" hidden="1" customHeight="1" x14ac:dyDescent="0.2">
      <c r="A237" s="407">
        <f>'Org structure'!E65</f>
        <v>0</v>
      </c>
      <c r="B237" s="445"/>
      <c r="C237" s="394"/>
      <c r="D237" s="383"/>
      <c r="E237" s="384"/>
      <c r="F237" s="472"/>
      <c r="G237" s="384"/>
      <c r="H237" s="472"/>
      <c r="I237" s="44">
        <f t="shared" si="34"/>
        <v>0</v>
      </c>
      <c r="J237" s="330" t="str">
        <f t="shared" si="33"/>
        <v/>
      </c>
      <c r="K237" s="395"/>
      <c r="L237" s="48"/>
      <c r="M237" s="473"/>
      <c r="N237" s="473"/>
      <c r="O237" s="473"/>
      <c r="P237" s="473"/>
      <c r="Q237" s="473"/>
      <c r="R237" s="473"/>
      <c r="S237" s="473"/>
      <c r="T237" s="473"/>
      <c r="U237" s="473"/>
      <c r="V237" s="473"/>
      <c r="W237" s="473"/>
    </row>
    <row r="238" spans="1:23" ht="11.25" hidden="1" customHeight="1" x14ac:dyDescent="0.2">
      <c r="A238" s="407">
        <f>'Org structure'!E66</f>
        <v>0</v>
      </c>
      <c r="B238" s="445"/>
      <c r="C238" s="394"/>
      <c r="D238" s="383"/>
      <c r="E238" s="384"/>
      <c r="F238" s="472"/>
      <c r="G238" s="384"/>
      <c r="H238" s="472"/>
      <c r="I238" s="44">
        <f t="shared" si="34"/>
        <v>0</v>
      </c>
      <c r="J238" s="330" t="str">
        <f t="shared" si="33"/>
        <v/>
      </c>
      <c r="K238" s="395"/>
      <c r="L238" s="48"/>
      <c r="M238" s="473"/>
      <c r="N238" s="473"/>
      <c r="O238" s="473"/>
      <c r="P238" s="473"/>
      <c r="Q238" s="473"/>
      <c r="R238" s="473"/>
      <c r="S238" s="473"/>
      <c r="T238" s="473"/>
      <c r="U238" s="473"/>
      <c r="V238" s="473"/>
      <c r="W238" s="473"/>
    </row>
    <row r="239" spans="1:23" ht="11.25" hidden="1" customHeight="1" x14ac:dyDescent="0.2">
      <c r="A239" s="407">
        <f>'Org structure'!E67</f>
        <v>0</v>
      </c>
      <c r="B239" s="445"/>
      <c r="C239" s="394"/>
      <c r="D239" s="383"/>
      <c r="E239" s="384"/>
      <c r="F239" s="472"/>
      <c r="G239" s="384"/>
      <c r="H239" s="472"/>
      <c r="I239" s="44">
        <f t="shared" si="34"/>
        <v>0</v>
      </c>
      <c r="J239" s="330" t="str">
        <f t="shared" si="33"/>
        <v/>
      </c>
      <c r="K239" s="395"/>
      <c r="L239" s="48"/>
      <c r="M239" s="473"/>
      <c r="N239" s="473"/>
      <c r="O239" s="473"/>
      <c r="P239" s="473"/>
      <c r="Q239" s="473"/>
      <c r="R239" s="473"/>
      <c r="S239" s="473"/>
      <c r="T239" s="473"/>
      <c r="U239" s="473"/>
      <c r="V239" s="473"/>
      <c r="W239" s="473"/>
    </row>
    <row r="240" spans="1:23" ht="11.25" hidden="1" customHeight="1" x14ac:dyDescent="0.2">
      <c r="A240" s="466" t="str">
        <f>'Org structure'!A8</f>
        <v>Vote 7 - [NAME OF VOTE 7]</v>
      </c>
      <c r="B240" s="440"/>
      <c r="C240" s="503">
        <f t="shared" ref="C240:K240" si="41">SUM(C241:C250)</f>
        <v>0</v>
      </c>
      <c r="D240" s="444">
        <f t="shared" si="41"/>
        <v>0</v>
      </c>
      <c r="E240" s="441">
        <f t="shared" si="41"/>
        <v>0</v>
      </c>
      <c r="F240" s="443">
        <f t="shared" si="41"/>
        <v>0</v>
      </c>
      <c r="G240" s="441">
        <f t="shared" si="41"/>
        <v>0</v>
      </c>
      <c r="H240" s="443">
        <f t="shared" si="41"/>
        <v>0</v>
      </c>
      <c r="I240" s="44">
        <f t="shared" si="34"/>
        <v>0</v>
      </c>
      <c r="J240" s="330" t="str">
        <f t="shared" si="33"/>
        <v/>
      </c>
      <c r="K240" s="442">
        <f t="shared" si="41"/>
        <v>0</v>
      </c>
      <c r="L240" s="48"/>
      <c r="M240" s="473"/>
      <c r="N240" s="473"/>
      <c r="O240" s="473"/>
      <c r="P240" s="473"/>
      <c r="Q240" s="473"/>
      <c r="R240" s="473"/>
      <c r="S240" s="473"/>
      <c r="T240" s="473"/>
      <c r="U240" s="473"/>
      <c r="V240" s="473"/>
      <c r="W240" s="473"/>
    </row>
    <row r="241" spans="1:23" ht="11.25" hidden="1" customHeight="1" x14ac:dyDescent="0.2">
      <c r="A241" s="407" t="str">
        <f>'Org structure'!E69</f>
        <v>7.1 - [Name of sub-vote]</v>
      </c>
      <c r="B241" s="445"/>
      <c r="C241" s="394"/>
      <c r="D241" s="383"/>
      <c r="E241" s="384"/>
      <c r="F241" s="472"/>
      <c r="G241" s="384"/>
      <c r="H241" s="472"/>
      <c r="I241" s="44">
        <f t="shared" si="34"/>
        <v>0</v>
      </c>
      <c r="J241" s="330" t="str">
        <f t="shared" si="33"/>
        <v/>
      </c>
      <c r="K241" s="395"/>
      <c r="L241" s="48"/>
      <c r="M241" s="473"/>
      <c r="N241" s="473"/>
      <c r="O241" s="473"/>
      <c r="P241" s="473"/>
      <c r="Q241" s="473"/>
      <c r="R241" s="473"/>
      <c r="S241" s="473"/>
      <c r="T241" s="473"/>
      <c r="U241" s="473"/>
      <c r="V241" s="473"/>
      <c r="W241" s="473"/>
    </row>
    <row r="242" spans="1:23" ht="11.25" hidden="1" customHeight="1" x14ac:dyDescent="0.2">
      <c r="A242" s="407">
        <f>'Org structure'!E70</f>
        <v>0</v>
      </c>
      <c r="B242" s="445"/>
      <c r="C242" s="394"/>
      <c r="D242" s="383"/>
      <c r="E242" s="384"/>
      <c r="F242" s="472"/>
      <c r="G242" s="384"/>
      <c r="H242" s="472"/>
      <c r="I242" s="44">
        <f t="shared" si="34"/>
        <v>0</v>
      </c>
      <c r="J242" s="330" t="str">
        <f t="shared" si="33"/>
        <v/>
      </c>
      <c r="K242" s="395"/>
      <c r="L242" s="48"/>
      <c r="M242" s="473"/>
      <c r="N242" s="473"/>
      <c r="O242" s="473"/>
      <c r="P242" s="473"/>
      <c r="Q242" s="473"/>
      <c r="R242" s="473"/>
      <c r="S242" s="473"/>
      <c r="T242" s="473"/>
      <c r="U242" s="473"/>
      <c r="V242" s="473"/>
      <c r="W242" s="473"/>
    </row>
    <row r="243" spans="1:23" ht="11.25" hidden="1" customHeight="1" x14ac:dyDescent="0.2">
      <c r="A243" s="407">
        <f>'Org structure'!E71</f>
        <v>0</v>
      </c>
      <c r="B243" s="445"/>
      <c r="C243" s="394"/>
      <c r="D243" s="383"/>
      <c r="E243" s="384"/>
      <c r="F243" s="472"/>
      <c r="G243" s="384"/>
      <c r="H243" s="472"/>
      <c r="I243" s="44">
        <f t="shared" si="34"/>
        <v>0</v>
      </c>
      <c r="J243" s="330" t="str">
        <f t="shared" si="33"/>
        <v/>
      </c>
      <c r="K243" s="395"/>
      <c r="L243" s="48"/>
      <c r="M243" s="473"/>
      <c r="N243" s="473"/>
      <c r="O243" s="473"/>
      <c r="P243" s="473"/>
      <c r="Q243" s="473"/>
      <c r="R243" s="473"/>
      <c r="S243" s="473"/>
      <c r="T243" s="473"/>
      <c r="U243" s="473"/>
      <c r="V243" s="473"/>
      <c r="W243" s="473"/>
    </row>
    <row r="244" spans="1:23" ht="11.25" hidden="1" customHeight="1" x14ac:dyDescent="0.2">
      <c r="A244" s="407">
        <f>'Org structure'!E72</f>
        <v>0</v>
      </c>
      <c r="B244" s="445"/>
      <c r="C244" s="394"/>
      <c r="D244" s="383"/>
      <c r="E244" s="384"/>
      <c r="F244" s="472"/>
      <c r="G244" s="384"/>
      <c r="H244" s="472"/>
      <c r="I244" s="44">
        <f t="shared" si="34"/>
        <v>0</v>
      </c>
      <c r="J244" s="330" t="str">
        <f t="shared" si="33"/>
        <v/>
      </c>
      <c r="K244" s="395"/>
      <c r="L244" s="48"/>
      <c r="M244" s="473"/>
      <c r="N244" s="473"/>
      <c r="O244" s="473"/>
      <c r="P244" s="473"/>
      <c r="Q244" s="473"/>
      <c r="R244" s="473"/>
      <c r="S244" s="473"/>
      <c r="T244" s="473"/>
      <c r="U244" s="473"/>
      <c r="V244" s="473"/>
      <c r="W244" s="473"/>
    </row>
    <row r="245" spans="1:23" ht="11.25" hidden="1" customHeight="1" x14ac:dyDescent="0.2">
      <c r="A245" s="407">
        <f>'Org structure'!E73</f>
        <v>0</v>
      </c>
      <c r="B245" s="445"/>
      <c r="C245" s="394"/>
      <c r="D245" s="383"/>
      <c r="E245" s="384"/>
      <c r="F245" s="472"/>
      <c r="G245" s="384"/>
      <c r="H245" s="472"/>
      <c r="I245" s="44">
        <f t="shared" si="34"/>
        <v>0</v>
      </c>
      <c r="J245" s="330" t="str">
        <f t="shared" si="33"/>
        <v/>
      </c>
      <c r="K245" s="395"/>
      <c r="L245" s="48"/>
      <c r="M245" s="473"/>
      <c r="N245" s="473"/>
      <c r="O245" s="473"/>
      <c r="P245" s="473"/>
      <c r="Q245" s="473"/>
      <c r="R245" s="473"/>
      <c r="S245" s="473"/>
      <c r="T245" s="473"/>
      <c r="U245" s="473"/>
      <c r="V245" s="473"/>
      <c r="W245" s="473"/>
    </row>
    <row r="246" spans="1:23" ht="11.25" hidden="1" customHeight="1" x14ac:dyDescent="0.2">
      <c r="A246" s="407">
        <f>'Org structure'!E74</f>
        <v>0</v>
      </c>
      <c r="B246" s="445"/>
      <c r="C246" s="394"/>
      <c r="D246" s="383"/>
      <c r="E246" s="384"/>
      <c r="F246" s="472"/>
      <c r="G246" s="384"/>
      <c r="H246" s="472"/>
      <c r="I246" s="44">
        <f t="shared" si="34"/>
        <v>0</v>
      </c>
      <c r="J246" s="330" t="str">
        <f t="shared" si="33"/>
        <v/>
      </c>
      <c r="K246" s="395"/>
      <c r="L246" s="48"/>
      <c r="M246" s="473"/>
      <c r="N246" s="473"/>
      <c r="O246" s="473"/>
      <c r="P246" s="473"/>
      <c r="Q246" s="473"/>
      <c r="R246" s="473"/>
      <c r="S246" s="473"/>
      <c r="T246" s="473"/>
      <c r="U246" s="473"/>
      <c r="V246" s="473"/>
      <c r="W246" s="473"/>
    </row>
    <row r="247" spans="1:23" ht="11.25" hidden="1" customHeight="1" x14ac:dyDescent="0.2">
      <c r="A247" s="407">
        <f>'Org structure'!E75</f>
        <v>0</v>
      </c>
      <c r="B247" s="445"/>
      <c r="C247" s="394"/>
      <c r="D247" s="383"/>
      <c r="E247" s="384"/>
      <c r="F247" s="472"/>
      <c r="G247" s="384"/>
      <c r="H247" s="472"/>
      <c r="I247" s="44">
        <f t="shared" si="34"/>
        <v>0</v>
      </c>
      <c r="J247" s="330" t="str">
        <f t="shared" si="33"/>
        <v/>
      </c>
      <c r="K247" s="395"/>
      <c r="L247" s="48"/>
      <c r="M247" s="473"/>
      <c r="N247" s="473"/>
      <c r="O247" s="473"/>
      <c r="P247" s="473"/>
      <c r="Q247" s="473"/>
      <c r="R247" s="473"/>
      <c r="S247" s="473"/>
      <c r="T247" s="473"/>
      <c r="U247" s="473"/>
      <c r="V247" s="473"/>
      <c r="W247" s="473"/>
    </row>
    <row r="248" spans="1:23" ht="11.25" hidden="1" customHeight="1" x14ac:dyDescent="0.2">
      <c r="A248" s="407">
        <f>'Org structure'!E76</f>
        <v>0</v>
      </c>
      <c r="B248" s="445"/>
      <c r="C248" s="394"/>
      <c r="D248" s="383"/>
      <c r="E248" s="384"/>
      <c r="F248" s="472"/>
      <c r="G248" s="384"/>
      <c r="H248" s="472"/>
      <c r="I248" s="44">
        <f t="shared" si="34"/>
        <v>0</v>
      </c>
      <c r="J248" s="330" t="str">
        <f t="shared" si="33"/>
        <v/>
      </c>
      <c r="K248" s="395"/>
      <c r="L248" s="48"/>
      <c r="M248" s="473"/>
      <c r="N248" s="473"/>
      <c r="O248" s="473"/>
      <c r="P248" s="473"/>
      <c r="Q248" s="473"/>
      <c r="R248" s="473"/>
      <c r="S248" s="473"/>
      <c r="T248" s="473"/>
      <c r="U248" s="473"/>
      <c r="V248" s="473"/>
      <c r="W248" s="473"/>
    </row>
    <row r="249" spans="1:23" ht="11.25" hidden="1" customHeight="1" x14ac:dyDescent="0.2">
      <c r="A249" s="407">
        <f>'Org structure'!E77</f>
        <v>0</v>
      </c>
      <c r="B249" s="445"/>
      <c r="C249" s="394"/>
      <c r="D249" s="383"/>
      <c r="E249" s="384"/>
      <c r="F249" s="472"/>
      <c r="G249" s="384"/>
      <c r="H249" s="472"/>
      <c r="I249" s="44">
        <f t="shared" si="34"/>
        <v>0</v>
      </c>
      <c r="J249" s="330" t="str">
        <f t="shared" si="33"/>
        <v/>
      </c>
      <c r="K249" s="395"/>
      <c r="L249" s="48"/>
      <c r="M249" s="473"/>
      <c r="N249" s="473"/>
      <c r="O249" s="473"/>
      <c r="P249" s="473"/>
      <c r="Q249" s="473"/>
      <c r="R249" s="473"/>
      <c r="S249" s="473"/>
      <c r="T249" s="473"/>
      <c r="U249" s="473"/>
      <c r="V249" s="473"/>
      <c r="W249" s="473"/>
    </row>
    <row r="250" spans="1:23" ht="11.25" hidden="1" customHeight="1" x14ac:dyDescent="0.2">
      <c r="A250" s="407">
        <f>'Org structure'!E78</f>
        <v>0</v>
      </c>
      <c r="B250" s="445"/>
      <c r="C250" s="394"/>
      <c r="D250" s="383"/>
      <c r="E250" s="384"/>
      <c r="F250" s="472"/>
      <c r="G250" s="384"/>
      <c r="H250" s="472"/>
      <c r="I250" s="44">
        <f t="shared" si="34"/>
        <v>0</v>
      </c>
      <c r="J250" s="330" t="str">
        <f t="shared" si="33"/>
        <v/>
      </c>
      <c r="K250" s="395"/>
      <c r="L250" s="48"/>
      <c r="M250" s="473"/>
      <c r="N250" s="473"/>
      <c r="O250" s="473"/>
      <c r="P250" s="473"/>
      <c r="Q250" s="473"/>
      <c r="R250" s="473"/>
      <c r="S250" s="473"/>
      <c r="T250" s="473"/>
      <c r="U250" s="473"/>
      <c r="V250" s="473"/>
      <c r="W250" s="473"/>
    </row>
    <row r="251" spans="1:23" ht="11.25" hidden="1" customHeight="1" x14ac:dyDescent="0.2">
      <c r="A251" s="466" t="str">
        <f>'Org structure'!A9</f>
        <v>Vote 8 - [NAME OF VOTE 8]</v>
      </c>
      <c r="B251" s="445"/>
      <c r="C251" s="503">
        <f t="shared" ref="C251:K251" si="42">SUM(C252:C261)</f>
        <v>0</v>
      </c>
      <c r="D251" s="444">
        <f t="shared" si="42"/>
        <v>0</v>
      </c>
      <c r="E251" s="441">
        <f t="shared" si="42"/>
        <v>0</v>
      </c>
      <c r="F251" s="443">
        <f t="shared" si="42"/>
        <v>0</v>
      </c>
      <c r="G251" s="441">
        <f t="shared" si="42"/>
        <v>0</v>
      </c>
      <c r="H251" s="443">
        <f t="shared" si="42"/>
        <v>0</v>
      </c>
      <c r="I251" s="44">
        <f t="shared" si="34"/>
        <v>0</v>
      </c>
      <c r="J251" s="330" t="str">
        <f t="shared" si="33"/>
        <v/>
      </c>
      <c r="K251" s="442">
        <f t="shared" si="42"/>
        <v>0</v>
      </c>
      <c r="L251" s="48"/>
      <c r="M251" s="473"/>
      <c r="N251" s="473"/>
      <c r="O251" s="473"/>
      <c r="P251" s="473"/>
      <c r="Q251" s="473"/>
      <c r="R251" s="473"/>
      <c r="S251" s="473"/>
      <c r="T251" s="473"/>
      <c r="U251" s="473"/>
      <c r="V251" s="473"/>
      <c r="W251" s="473"/>
    </row>
    <row r="252" spans="1:23" ht="11.25" hidden="1" customHeight="1" x14ac:dyDescent="0.2">
      <c r="A252" s="407" t="str">
        <f>'Org structure'!E80</f>
        <v>8.1 - [Name of sub-vote]</v>
      </c>
      <c r="B252" s="445"/>
      <c r="C252" s="394"/>
      <c r="D252" s="383"/>
      <c r="E252" s="384"/>
      <c r="F252" s="472"/>
      <c r="G252" s="384"/>
      <c r="H252" s="472"/>
      <c r="I252" s="44">
        <f t="shared" si="34"/>
        <v>0</v>
      </c>
      <c r="J252" s="330" t="str">
        <f t="shared" si="33"/>
        <v/>
      </c>
      <c r="K252" s="395"/>
      <c r="L252" s="48"/>
      <c r="M252" s="473"/>
      <c r="N252" s="473"/>
      <c r="O252" s="473"/>
      <c r="P252" s="473"/>
      <c r="Q252" s="473"/>
      <c r="R252" s="473"/>
      <c r="S252" s="473"/>
      <c r="T252" s="473"/>
      <c r="U252" s="473"/>
      <c r="V252" s="473"/>
      <c r="W252" s="473"/>
    </row>
    <row r="253" spans="1:23" ht="11.25" hidden="1" customHeight="1" x14ac:dyDescent="0.2">
      <c r="A253" s="407">
        <f>'Org structure'!E81</f>
        <v>0</v>
      </c>
      <c r="B253" s="445"/>
      <c r="C253" s="394"/>
      <c r="D253" s="383"/>
      <c r="E253" s="384"/>
      <c r="F253" s="472"/>
      <c r="G253" s="384"/>
      <c r="H253" s="472"/>
      <c r="I253" s="44">
        <f t="shared" si="34"/>
        <v>0</v>
      </c>
      <c r="J253" s="330" t="str">
        <f t="shared" si="33"/>
        <v/>
      </c>
      <c r="K253" s="395"/>
      <c r="L253" s="48"/>
      <c r="M253" s="473"/>
      <c r="N253" s="473"/>
      <c r="O253" s="473"/>
      <c r="P253" s="473"/>
      <c r="Q253" s="473"/>
      <c r="R253" s="473"/>
      <c r="S253" s="473"/>
      <c r="T253" s="473"/>
      <c r="U253" s="473"/>
      <c r="V253" s="473"/>
      <c r="W253" s="473"/>
    </row>
    <row r="254" spans="1:23" ht="11.25" hidden="1" customHeight="1" x14ac:dyDescent="0.2">
      <c r="A254" s="407">
        <f>'Org structure'!E82</f>
        <v>0</v>
      </c>
      <c r="B254" s="445"/>
      <c r="C254" s="394"/>
      <c r="D254" s="383"/>
      <c r="E254" s="384"/>
      <c r="F254" s="472"/>
      <c r="G254" s="384"/>
      <c r="H254" s="472"/>
      <c r="I254" s="44">
        <f t="shared" si="34"/>
        <v>0</v>
      </c>
      <c r="J254" s="330" t="str">
        <f t="shared" si="33"/>
        <v/>
      </c>
      <c r="K254" s="395"/>
      <c r="L254" s="48"/>
      <c r="M254" s="473"/>
      <c r="N254" s="473"/>
      <c r="O254" s="473"/>
      <c r="P254" s="473"/>
      <c r="Q254" s="473"/>
      <c r="R254" s="473"/>
      <c r="S254" s="473"/>
      <c r="T254" s="473"/>
      <c r="U254" s="473"/>
      <c r="V254" s="473"/>
      <c r="W254" s="473"/>
    </row>
    <row r="255" spans="1:23" ht="11.25" hidden="1" customHeight="1" x14ac:dyDescent="0.2">
      <c r="A255" s="407">
        <f>'Org structure'!E83</f>
        <v>0</v>
      </c>
      <c r="B255" s="445"/>
      <c r="C255" s="394"/>
      <c r="D255" s="383"/>
      <c r="E255" s="384"/>
      <c r="F255" s="472"/>
      <c r="G255" s="384"/>
      <c r="H255" s="472"/>
      <c r="I255" s="44">
        <f t="shared" si="34"/>
        <v>0</v>
      </c>
      <c r="J255" s="330" t="str">
        <f t="shared" si="33"/>
        <v/>
      </c>
      <c r="K255" s="395"/>
      <c r="L255" s="48"/>
      <c r="M255" s="473"/>
      <c r="N255" s="473"/>
      <c r="O255" s="473"/>
      <c r="P255" s="473"/>
      <c r="Q255" s="473"/>
      <c r="R255" s="473"/>
      <c r="S255" s="473"/>
      <c r="T255" s="473"/>
      <c r="U255" s="473"/>
      <c r="V255" s="473"/>
      <c r="W255" s="473"/>
    </row>
    <row r="256" spans="1:23" ht="11.25" hidden="1" customHeight="1" x14ac:dyDescent="0.2">
      <c r="A256" s="407">
        <f>'Org structure'!E84</f>
        <v>0</v>
      </c>
      <c r="B256" s="445"/>
      <c r="C256" s="394"/>
      <c r="D256" s="383"/>
      <c r="E256" s="384"/>
      <c r="F256" s="472"/>
      <c r="G256" s="384"/>
      <c r="H256" s="472"/>
      <c r="I256" s="44">
        <f t="shared" si="34"/>
        <v>0</v>
      </c>
      <c r="J256" s="330" t="str">
        <f t="shared" si="33"/>
        <v/>
      </c>
      <c r="K256" s="395"/>
      <c r="L256" s="48"/>
      <c r="M256" s="473"/>
      <c r="N256" s="473"/>
      <c r="O256" s="473"/>
      <c r="P256" s="473"/>
      <c r="Q256" s="473"/>
      <c r="R256" s="473"/>
      <c r="S256" s="473"/>
      <c r="T256" s="473"/>
      <c r="U256" s="473"/>
      <c r="V256" s="473"/>
      <c r="W256" s="473"/>
    </row>
    <row r="257" spans="1:23" ht="11.25" hidden="1" customHeight="1" x14ac:dyDescent="0.2">
      <c r="A257" s="407">
        <f>'Org structure'!E85</f>
        <v>0</v>
      </c>
      <c r="B257" s="445"/>
      <c r="C257" s="394"/>
      <c r="D257" s="383"/>
      <c r="E257" s="384"/>
      <c r="F257" s="472"/>
      <c r="G257" s="384"/>
      <c r="H257" s="472"/>
      <c r="I257" s="44">
        <f t="shared" si="34"/>
        <v>0</v>
      </c>
      <c r="J257" s="330" t="str">
        <f t="shared" si="33"/>
        <v/>
      </c>
      <c r="K257" s="395"/>
      <c r="L257" s="48"/>
      <c r="M257" s="473"/>
      <c r="N257" s="473"/>
      <c r="O257" s="473"/>
      <c r="P257" s="473"/>
      <c r="Q257" s="473"/>
      <c r="R257" s="473"/>
      <c r="S257" s="473"/>
      <c r="T257" s="473"/>
      <c r="U257" s="473"/>
      <c r="V257" s="473"/>
      <c r="W257" s="473"/>
    </row>
    <row r="258" spans="1:23" ht="11.25" hidden="1" customHeight="1" x14ac:dyDescent="0.2">
      <c r="A258" s="407">
        <f>'Org structure'!E86</f>
        <v>0</v>
      </c>
      <c r="B258" s="445"/>
      <c r="C258" s="394"/>
      <c r="D258" s="383"/>
      <c r="E258" s="384"/>
      <c r="F258" s="472"/>
      <c r="G258" s="384"/>
      <c r="H258" s="472"/>
      <c r="I258" s="44">
        <f t="shared" si="34"/>
        <v>0</v>
      </c>
      <c r="J258" s="330" t="str">
        <f t="shared" si="33"/>
        <v/>
      </c>
      <c r="K258" s="395"/>
      <c r="L258" s="48"/>
      <c r="M258" s="473"/>
      <c r="N258" s="473"/>
      <c r="O258" s="473"/>
      <c r="P258" s="473"/>
      <c r="Q258" s="473"/>
      <c r="R258" s="473"/>
      <c r="S258" s="473"/>
      <c r="T258" s="473"/>
      <c r="U258" s="473"/>
      <c r="V258" s="473"/>
      <c r="W258" s="473"/>
    </row>
    <row r="259" spans="1:23" ht="11.25" hidden="1" customHeight="1" x14ac:dyDescent="0.2">
      <c r="A259" s="407">
        <f>'Org structure'!E87</f>
        <v>0</v>
      </c>
      <c r="B259" s="445"/>
      <c r="C259" s="394"/>
      <c r="D259" s="383"/>
      <c r="E259" s="384"/>
      <c r="F259" s="472"/>
      <c r="G259" s="384"/>
      <c r="H259" s="472"/>
      <c r="I259" s="44">
        <f t="shared" si="34"/>
        <v>0</v>
      </c>
      <c r="J259" s="330" t="str">
        <f t="shared" si="33"/>
        <v/>
      </c>
      <c r="K259" s="395"/>
      <c r="L259" s="48"/>
      <c r="M259" s="473"/>
      <c r="N259" s="473"/>
      <c r="O259" s="473"/>
      <c r="P259" s="473"/>
      <c r="Q259" s="473"/>
      <c r="R259" s="473"/>
      <c r="S259" s="473"/>
      <c r="T259" s="473"/>
      <c r="U259" s="473"/>
      <c r="V259" s="473"/>
      <c r="W259" s="473"/>
    </row>
    <row r="260" spans="1:23" ht="11.25" hidden="1" customHeight="1" x14ac:dyDescent="0.2">
      <c r="A260" s="407">
        <f>'Org structure'!E88</f>
        <v>0</v>
      </c>
      <c r="B260" s="445"/>
      <c r="C260" s="394"/>
      <c r="D260" s="383"/>
      <c r="E260" s="384"/>
      <c r="F260" s="472"/>
      <c r="G260" s="384"/>
      <c r="H260" s="472"/>
      <c r="I260" s="44">
        <f t="shared" si="34"/>
        <v>0</v>
      </c>
      <c r="J260" s="330" t="str">
        <f t="shared" si="33"/>
        <v/>
      </c>
      <c r="K260" s="395"/>
      <c r="L260" s="48"/>
      <c r="M260" s="473"/>
      <c r="N260" s="473"/>
      <c r="O260" s="473"/>
      <c r="P260" s="473"/>
      <c r="Q260" s="473"/>
      <c r="R260" s="473"/>
      <c r="S260" s="473"/>
      <c r="T260" s="473"/>
      <c r="U260" s="473"/>
      <c r="V260" s="473"/>
      <c r="W260" s="473"/>
    </row>
    <row r="261" spans="1:23" ht="11.25" hidden="1" customHeight="1" x14ac:dyDescent="0.2">
      <c r="A261" s="407">
        <f>'Org structure'!E89</f>
        <v>0</v>
      </c>
      <c r="B261" s="445"/>
      <c r="C261" s="394"/>
      <c r="D261" s="383"/>
      <c r="E261" s="384"/>
      <c r="F261" s="472"/>
      <c r="G261" s="384"/>
      <c r="H261" s="472"/>
      <c r="I261" s="44">
        <f t="shared" si="34"/>
        <v>0</v>
      </c>
      <c r="J261" s="330" t="str">
        <f t="shared" si="33"/>
        <v/>
      </c>
      <c r="K261" s="395"/>
      <c r="L261" s="48"/>
      <c r="M261" s="473"/>
      <c r="N261" s="473"/>
      <c r="O261" s="473"/>
      <c r="P261" s="473"/>
      <c r="Q261" s="473"/>
      <c r="R261" s="473"/>
      <c r="S261" s="473"/>
      <c r="T261" s="473"/>
      <c r="U261" s="473"/>
      <c r="V261" s="473"/>
      <c r="W261" s="473"/>
    </row>
    <row r="262" spans="1:23" ht="11.25" hidden="1" customHeight="1" x14ac:dyDescent="0.2">
      <c r="A262" s="466" t="str">
        <f>'Org structure'!A10</f>
        <v>Vote 9 - [NAME OF VOTE 9]</v>
      </c>
      <c r="B262" s="445"/>
      <c r="C262" s="503">
        <f t="shared" ref="C262:K262" si="43">SUM(C263:C272)</f>
        <v>0</v>
      </c>
      <c r="D262" s="444">
        <f t="shared" si="43"/>
        <v>0</v>
      </c>
      <c r="E262" s="441">
        <f t="shared" si="43"/>
        <v>0</v>
      </c>
      <c r="F262" s="443">
        <f t="shared" si="43"/>
        <v>0</v>
      </c>
      <c r="G262" s="441">
        <f t="shared" si="43"/>
        <v>0</v>
      </c>
      <c r="H262" s="443">
        <f t="shared" si="43"/>
        <v>0</v>
      </c>
      <c r="I262" s="44">
        <f t="shared" ref="I262:I325" si="44">G262-H262</f>
        <v>0</v>
      </c>
      <c r="J262" s="330" t="str">
        <f t="shared" ref="J262:J325" si="45">IF(I262=0,"",I262/H262)</f>
        <v/>
      </c>
      <c r="K262" s="442">
        <f t="shared" si="43"/>
        <v>0</v>
      </c>
      <c r="L262" s="48"/>
      <c r="M262" s="473"/>
      <c r="N262" s="473"/>
      <c r="O262" s="473"/>
      <c r="P262" s="473"/>
      <c r="Q262" s="473"/>
      <c r="R262" s="473"/>
      <c r="S262" s="473"/>
      <c r="T262" s="473"/>
      <c r="U262" s="473"/>
      <c r="V262" s="473"/>
      <c r="W262" s="473"/>
    </row>
    <row r="263" spans="1:23" ht="11.25" hidden="1" customHeight="1" x14ac:dyDescent="0.2">
      <c r="A263" s="407" t="str">
        <f>'Org structure'!E91</f>
        <v>9.1 - [Name of sub-vote]</v>
      </c>
      <c r="B263" s="445"/>
      <c r="C263" s="394"/>
      <c r="D263" s="383"/>
      <c r="E263" s="384"/>
      <c r="F263" s="472"/>
      <c r="G263" s="384"/>
      <c r="H263" s="472"/>
      <c r="I263" s="44">
        <f t="shared" si="44"/>
        <v>0</v>
      </c>
      <c r="J263" s="330" t="str">
        <f t="shared" si="45"/>
        <v/>
      </c>
      <c r="K263" s="395"/>
      <c r="L263" s="48"/>
      <c r="M263" s="473"/>
      <c r="N263" s="473"/>
      <c r="O263" s="473"/>
      <c r="P263" s="473"/>
      <c r="Q263" s="473"/>
      <c r="R263" s="473"/>
      <c r="S263" s="473"/>
      <c r="T263" s="473"/>
      <c r="U263" s="473"/>
      <c r="V263" s="473"/>
      <c r="W263" s="473"/>
    </row>
    <row r="264" spans="1:23" ht="11.25" hidden="1" customHeight="1" x14ac:dyDescent="0.2">
      <c r="A264" s="407">
        <f>'Org structure'!E92</f>
        <v>0</v>
      </c>
      <c r="B264" s="445"/>
      <c r="C264" s="394"/>
      <c r="D264" s="383"/>
      <c r="E264" s="384"/>
      <c r="F264" s="472"/>
      <c r="G264" s="384"/>
      <c r="H264" s="472"/>
      <c r="I264" s="44">
        <f t="shared" si="44"/>
        <v>0</v>
      </c>
      <c r="J264" s="330" t="str">
        <f t="shared" si="45"/>
        <v/>
      </c>
      <c r="K264" s="395"/>
      <c r="L264" s="48"/>
      <c r="M264" s="473"/>
      <c r="N264" s="473"/>
      <c r="O264" s="473"/>
      <c r="P264" s="473"/>
      <c r="Q264" s="473"/>
      <c r="R264" s="473"/>
      <c r="S264" s="473"/>
      <c r="T264" s="473"/>
      <c r="U264" s="473"/>
      <c r="V264" s="473"/>
      <c r="W264" s="473"/>
    </row>
    <row r="265" spans="1:23" ht="11.25" hidden="1" customHeight="1" x14ac:dyDescent="0.2">
      <c r="A265" s="407">
        <f>'Org structure'!E93</f>
        <v>0</v>
      </c>
      <c r="B265" s="445"/>
      <c r="C265" s="394"/>
      <c r="D265" s="383"/>
      <c r="E265" s="384"/>
      <c r="F265" s="472"/>
      <c r="G265" s="384"/>
      <c r="H265" s="472"/>
      <c r="I265" s="44">
        <f t="shared" si="44"/>
        <v>0</v>
      </c>
      <c r="J265" s="330" t="str">
        <f t="shared" si="45"/>
        <v/>
      </c>
      <c r="K265" s="395"/>
      <c r="L265" s="48"/>
      <c r="M265" s="473"/>
      <c r="N265" s="473"/>
      <c r="O265" s="473"/>
      <c r="P265" s="473"/>
      <c r="Q265" s="473"/>
      <c r="R265" s="473"/>
      <c r="S265" s="473"/>
      <c r="T265" s="473"/>
      <c r="U265" s="473"/>
      <c r="V265" s="473"/>
      <c r="W265" s="473"/>
    </row>
    <row r="266" spans="1:23" ht="11.25" hidden="1" customHeight="1" x14ac:dyDescent="0.2">
      <c r="A266" s="407">
        <f>'Org structure'!E94</f>
        <v>0</v>
      </c>
      <c r="B266" s="445"/>
      <c r="C266" s="394"/>
      <c r="D266" s="383"/>
      <c r="E266" s="384"/>
      <c r="F266" s="472"/>
      <c r="G266" s="384"/>
      <c r="H266" s="472"/>
      <c r="I266" s="44">
        <f t="shared" si="44"/>
        <v>0</v>
      </c>
      <c r="J266" s="330" t="str">
        <f t="shared" si="45"/>
        <v/>
      </c>
      <c r="K266" s="395"/>
      <c r="L266" s="48"/>
      <c r="M266" s="473"/>
      <c r="N266" s="473"/>
      <c r="O266" s="473"/>
      <c r="P266" s="473"/>
      <c r="Q266" s="473"/>
      <c r="R266" s="473"/>
      <c r="S266" s="473"/>
      <c r="T266" s="473"/>
      <c r="U266" s="473"/>
      <c r="V266" s="473"/>
      <c r="W266" s="473"/>
    </row>
    <row r="267" spans="1:23" ht="11.25" hidden="1" customHeight="1" x14ac:dyDescent="0.2">
      <c r="A267" s="407">
        <f>'Org structure'!E95</f>
        <v>0</v>
      </c>
      <c r="B267" s="445"/>
      <c r="C267" s="394"/>
      <c r="D267" s="383"/>
      <c r="E267" s="384"/>
      <c r="F267" s="472"/>
      <c r="G267" s="384"/>
      <c r="H267" s="472"/>
      <c r="I267" s="44">
        <f t="shared" si="44"/>
        <v>0</v>
      </c>
      <c r="J267" s="330" t="str">
        <f t="shared" si="45"/>
        <v/>
      </c>
      <c r="K267" s="395"/>
      <c r="L267" s="48"/>
      <c r="M267" s="473"/>
      <c r="N267" s="473"/>
      <c r="O267" s="473"/>
      <c r="P267" s="473"/>
      <c r="Q267" s="473"/>
      <c r="R267" s="473"/>
      <c r="S267" s="473"/>
      <c r="T267" s="473"/>
      <c r="U267" s="473"/>
      <c r="V267" s="473"/>
      <c r="W267" s="473"/>
    </row>
    <row r="268" spans="1:23" ht="11.25" hidden="1" customHeight="1" x14ac:dyDescent="0.2">
      <c r="A268" s="407">
        <f>'Org structure'!E96</f>
        <v>0</v>
      </c>
      <c r="B268" s="445"/>
      <c r="C268" s="394"/>
      <c r="D268" s="383"/>
      <c r="E268" s="384"/>
      <c r="F268" s="472"/>
      <c r="G268" s="384"/>
      <c r="H268" s="472"/>
      <c r="I268" s="44">
        <f t="shared" si="44"/>
        <v>0</v>
      </c>
      <c r="J268" s="330" t="str">
        <f t="shared" si="45"/>
        <v/>
      </c>
      <c r="K268" s="395"/>
      <c r="L268" s="48"/>
      <c r="M268" s="473"/>
      <c r="N268" s="473"/>
      <c r="O268" s="473"/>
      <c r="P268" s="473"/>
      <c r="Q268" s="473"/>
      <c r="R268" s="473"/>
      <c r="S268" s="473"/>
      <c r="T268" s="473"/>
      <c r="U268" s="473"/>
      <c r="V268" s="473"/>
      <c r="W268" s="473"/>
    </row>
    <row r="269" spans="1:23" ht="11.25" hidden="1" customHeight="1" x14ac:dyDescent="0.2">
      <c r="A269" s="407">
        <f>'Org structure'!E97</f>
        <v>0</v>
      </c>
      <c r="B269" s="445"/>
      <c r="C269" s="394"/>
      <c r="D269" s="383"/>
      <c r="E269" s="384"/>
      <c r="F269" s="472"/>
      <c r="G269" s="384"/>
      <c r="H269" s="472"/>
      <c r="I269" s="44">
        <f t="shared" si="44"/>
        <v>0</v>
      </c>
      <c r="J269" s="330" t="str">
        <f t="shared" si="45"/>
        <v/>
      </c>
      <c r="K269" s="395"/>
      <c r="L269" s="48"/>
      <c r="M269" s="473"/>
      <c r="N269" s="473"/>
      <c r="O269" s="473"/>
      <c r="P269" s="473"/>
      <c r="Q269" s="473"/>
      <c r="R269" s="473"/>
      <c r="S269" s="473"/>
      <c r="T269" s="473"/>
      <c r="U269" s="473"/>
      <c r="V269" s="473"/>
      <c r="W269" s="473"/>
    </row>
    <row r="270" spans="1:23" ht="11.25" hidden="1" customHeight="1" x14ac:dyDescent="0.2">
      <c r="A270" s="407">
        <f>'Org structure'!E98</f>
        <v>0</v>
      </c>
      <c r="B270" s="445"/>
      <c r="C270" s="394"/>
      <c r="D270" s="383"/>
      <c r="E270" s="384"/>
      <c r="F270" s="472"/>
      <c r="G270" s="384"/>
      <c r="H270" s="472"/>
      <c r="I270" s="44">
        <f t="shared" si="44"/>
        <v>0</v>
      </c>
      <c r="J270" s="330" t="str">
        <f t="shared" si="45"/>
        <v/>
      </c>
      <c r="K270" s="395"/>
      <c r="L270" s="48"/>
      <c r="M270" s="473"/>
      <c r="N270" s="473"/>
      <c r="O270" s="473"/>
      <c r="P270" s="473"/>
      <c r="Q270" s="473"/>
      <c r="R270" s="473"/>
      <c r="S270" s="473"/>
      <c r="T270" s="473"/>
      <c r="U270" s="473"/>
      <c r="V270" s="473"/>
      <c r="W270" s="473"/>
    </row>
    <row r="271" spans="1:23" ht="11.25" hidden="1" customHeight="1" x14ac:dyDescent="0.2">
      <c r="A271" s="407">
        <f>'Org structure'!E99</f>
        <v>0</v>
      </c>
      <c r="B271" s="445"/>
      <c r="C271" s="394"/>
      <c r="D271" s="383"/>
      <c r="E271" s="384"/>
      <c r="F271" s="472"/>
      <c r="G271" s="384"/>
      <c r="H271" s="472"/>
      <c r="I271" s="44">
        <f t="shared" si="44"/>
        <v>0</v>
      </c>
      <c r="J271" s="330" t="str">
        <f t="shared" si="45"/>
        <v/>
      </c>
      <c r="K271" s="395"/>
      <c r="L271" s="48"/>
      <c r="M271" s="473"/>
      <c r="N271" s="473"/>
      <c r="O271" s="473"/>
      <c r="P271" s="473"/>
      <c r="Q271" s="473"/>
      <c r="R271" s="473"/>
      <c r="S271" s="473"/>
      <c r="T271" s="473"/>
      <c r="U271" s="473"/>
      <c r="V271" s="473"/>
      <c r="W271" s="473"/>
    </row>
    <row r="272" spans="1:23" ht="11.25" hidden="1" customHeight="1" x14ac:dyDescent="0.2">
      <c r="A272" s="407">
        <f>'Org structure'!E100</f>
        <v>0</v>
      </c>
      <c r="B272" s="445"/>
      <c r="C272" s="394"/>
      <c r="D272" s="383"/>
      <c r="E272" s="384"/>
      <c r="F272" s="472"/>
      <c r="G272" s="384"/>
      <c r="H272" s="472"/>
      <c r="I272" s="44">
        <f t="shared" si="44"/>
        <v>0</v>
      </c>
      <c r="J272" s="330" t="str">
        <f t="shared" si="45"/>
        <v/>
      </c>
      <c r="K272" s="395"/>
      <c r="L272" s="48"/>
      <c r="M272" s="473"/>
      <c r="N272" s="473"/>
      <c r="O272" s="473"/>
      <c r="P272" s="473"/>
      <c r="Q272" s="473"/>
      <c r="R272" s="473"/>
      <c r="S272" s="473"/>
      <c r="T272" s="473"/>
      <c r="U272" s="473"/>
      <c r="V272" s="473"/>
      <c r="W272" s="473"/>
    </row>
    <row r="273" spans="1:23" ht="11.25" hidden="1" customHeight="1" x14ac:dyDescent="0.2">
      <c r="A273" s="466" t="str">
        <f>'Org structure'!A11</f>
        <v>Vote 10 - [NAME OF VOTE 10]</v>
      </c>
      <c r="B273" s="445"/>
      <c r="C273" s="503">
        <f t="shared" ref="C273:K273" si="46">SUM(C274:C283)</f>
        <v>0</v>
      </c>
      <c r="D273" s="444">
        <f t="shared" si="46"/>
        <v>0</v>
      </c>
      <c r="E273" s="441">
        <f t="shared" si="46"/>
        <v>0</v>
      </c>
      <c r="F273" s="443">
        <f t="shared" si="46"/>
        <v>0</v>
      </c>
      <c r="G273" s="441">
        <f t="shared" si="46"/>
        <v>0</v>
      </c>
      <c r="H273" s="443">
        <f t="shared" si="46"/>
        <v>0</v>
      </c>
      <c r="I273" s="44">
        <f t="shared" si="44"/>
        <v>0</v>
      </c>
      <c r="J273" s="330" t="str">
        <f t="shared" si="45"/>
        <v/>
      </c>
      <c r="K273" s="442">
        <f t="shared" si="46"/>
        <v>0</v>
      </c>
      <c r="L273" s="48"/>
      <c r="M273" s="473"/>
      <c r="N273" s="473"/>
      <c r="O273" s="473"/>
      <c r="P273" s="473"/>
      <c r="Q273" s="473"/>
      <c r="R273" s="473"/>
      <c r="S273" s="473"/>
      <c r="T273" s="473"/>
      <c r="U273" s="473"/>
      <c r="V273" s="473"/>
      <c r="W273" s="473"/>
    </row>
    <row r="274" spans="1:23" ht="11.25" hidden="1" customHeight="1" x14ac:dyDescent="0.2">
      <c r="A274" s="407" t="str">
        <f>'Org structure'!E102</f>
        <v>10.1 - [Name of sub-vote]</v>
      </c>
      <c r="B274" s="445"/>
      <c r="C274" s="394"/>
      <c r="D274" s="383"/>
      <c r="E274" s="384"/>
      <c r="F274" s="472"/>
      <c r="G274" s="384"/>
      <c r="H274" s="472"/>
      <c r="I274" s="44">
        <f t="shared" si="44"/>
        <v>0</v>
      </c>
      <c r="J274" s="330" t="str">
        <f t="shared" si="45"/>
        <v/>
      </c>
      <c r="K274" s="395"/>
      <c r="L274" s="48"/>
      <c r="M274" s="473"/>
      <c r="N274" s="473"/>
      <c r="O274" s="473"/>
      <c r="P274" s="473"/>
      <c r="Q274" s="473"/>
      <c r="R274" s="473"/>
      <c r="S274" s="473"/>
      <c r="T274" s="473"/>
      <c r="U274" s="473"/>
      <c r="V274" s="473"/>
      <c r="W274" s="473"/>
    </row>
    <row r="275" spans="1:23" ht="11.25" hidden="1" customHeight="1" x14ac:dyDescent="0.2">
      <c r="A275" s="407">
        <f>'Org structure'!E103</f>
        <v>0</v>
      </c>
      <c r="B275" s="445"/>
      <c r="C275" s="394"/>
      <c r="D275" s="383"/>
      <c r="E275" s="384"/>
      <c r="F275" s="472"/>
      <c r="G275" s="384"/>
      <c r="H275" s="472"/>
      <c r="I275" s="44">
        <f t="shared" si="44"/>
        <v>0</v>
      </c>
      <c r="J275" s="330" t="str">
        <f t="shared" si="45"/>
        <v/>
      </c>
      <c r="K275" s="395"/>
      <c r="L275" s="48"/>
      <c r="M275" s="473"/>
      <c r="N275" s="473"/>
      <c r="O275" s="473"/>
      <c r="P275" s="473"/>
      <c r="Q275" s="473"/>
      <c r="R275" s="473"/>
      <c r="S275" s="473"/>
      <c r="T275" s="473"/>
      <c r="U275" s="473"/>
      <c r="V275" s="473"/>
      <c r="W275" s="473"/>
    </row>
    <row r="276" spans="1:23" ht="11.25" hidden="1" customHeight="1" x14ac:dyDescent="0.2">
      <c r="A276" s="407">
        <f>'Org structure'!E104</f>
        <v>0</v>
      </c>
      <c r="B276" s="445"/>
      <c r="C276" s="394"/>
      <c r="D276" s="383"/>
      <c r="E276" s="384"/>
      <c r="F276" s="472"/>
      <c r="G276" s="384"/>
      <c r="H276" s="472"/>
      <c r="I276" s="44">
        <f t="shared" si="44"/>
        <v>0</v>
      </c>
      <c r="J276" s="330" t="str">
        <f t="shared" si="45"/>
        <v/>
      </c>
      <c r="K276" s="395"/>
      <c r="L276" s="48"/>
      <c r="M276" s="473"/>
      <c r="N276" s="473"/>
      <c r="O276" s="473"/>
      <c r="P276" s="473"/>
      <c r="Q276" s="473"/>
      <c r="R276" s="473"/>
      <c r="S276" s="473"/>
      <c r="T276" s="473"/>
      <c r="U276" s="473"/>
      <c r="V276" s="473"/>
      <c r="W276" s="473"/>
    </row>
    <row r="277" spans="1:23" ht="11.25" hidden="1" customHeight="1" x14ac:dyDescent="0.2">
      <c r="A277" s="407">
        <f>'Org structure'!E105</f>
        <v>0</v>
      </c>
      <c r="B277" s="445"/>
      <c r="C277" s="394"/>
      <c r="D277" s="383"/>
      <c r="E277" s="384"/>
      <c r="F277" s="472"/>
      <c r="G277" s="384"/>
      <c r="H277" s="472"/>
      <c r="I277" s="44">
        <f t="shared" si="44"/>
        <v>0</v>
      </c>
      <c r="J277" s="330" t="str">
        <f t="shared" si="45"/>
        <v/>
      </c>
      <c r="K277" s="395"/>
      <c r="L277" s="48"/>
      <c r="M277" s="473"/>
      <c r="N277" s="473"/>
      <c r="O277" s="473"/>
      <c r="P277" s="473"/>
      <c r="Q277" s="473"/>
      <c r="R277" s="473"/>
      <c r="S277" s="473"/>
      <c r="T277" s="473"/>
      <c r="U277" s="473"/>
      <c r="V277" s="473"/>
      <c r="W277" s="473"/>
    </row>
    <row r="278" spans="1:23" ht="11.25" hidden="1" customHeight="1" x14ac:dyDescent="0.2">
      <c r="A278" s="407">
        <f>'Org structure'!E106</f>
        <v>0</v>
      </c>
      <c r="B278" s="445"/>
      <c r="C278" s="394"/>
      <c r="D278" s="383"/>
      <c r="E278" s="384"/>
      <c r="F278" s="472"/>
      <c r="G278" s="384"/>
      <c r="H278" s="472"/>
      <c r="I278" s="44">
        <f t="shared" si="44"/>
        <v>0</v>
      </c>
      <c r="J278" s="330" t="str">
        <f t="shared" si="45"/>
        <v/>
      </c>
      <c r="K278" s="395"/>
      <c r="L278" s="48"/>
      <c r="M278" s="473"/>
      <c r="N278" s="473"/>
      <c r="O278" s="473"/>
      <c r="P278" s="473"/>
      <c r="Q278" s="473"/>
      <c r="R278" s="473"/>
      <c r="S278" s="473"/>
      <c r="T278" s="473"/>
      <c r="U278" s="473"/>
      <c r="V278" s="473"/>
      <c r="W278" s="473"/>
    </row>
    <row r="279" spans="1:23" ht="11.25" hidden="1" customHeight="1" x14ac:dyDescent="0.2">
      <c r="A279" s="407">
        <f>'Org structure'!E107</f>
        <v>0</v>
      </c>
      <c r="B279" s="445"/>
      <c r="C279" s="394"/>
      <c r="D279" s="383"/>
      <c r="E279" s="384"/>
      <c r="F279" s="472"/>
      <c r="G279" s="384"/>
      <c r="H279" s="472"/>
      <c r="I279" s="44">
        <f t="shared" si="44"/>
        <v>0</v>
      </c>
      <c r="J279" s="330" t="str">
        <f t="shared" si="45"/>
        <v/>
      </c>
      <c r="K279" s="395"/>
      <c r="L279" s="48"/>
      <c r="M279" s="473"/>
      <c r="N279" s="473"/>
      <c r="O279" s="473"/>
      <c r="P279" s="473"/>
      <c r="Q279" s="473"/>
      <c r="R279" s="473"/>
      <c r="S279" s="473"/>
      <c r="T279" s="473"/>
      <c r="U279" s="473"/>
      <c r="V279" s="473"/>
      <c r="W279" s="473"/>
    </row>
    <row r="280" spans="1:23" ht="11.25" hidden="1" customHeight="1" x14ac:dyDescent="0.2">
      <c r="A280" s="407">
        <f>'Org structure'!E108</f>
        <v>0</v>
      </c>
      <c r="B280" s="445"/>
      <c r="C280" s="394"/>
      <c r="D280" s="383"/>
      <c r="E280" s="384"/>
      <c r="F280" s="472"/>
      <c r="G280" s="384"/>
      <c r="H280" s="472"/>
      <c r="I280" s="44">
        <f t="shared" si="44"/>
        <v>0</v>
      </c>
      <c r="J280" s="330" t="str">
        <f t="shared" si="45"/>
        <v/>
      </c>
      <c r="K280" s="395"/>
      <c r="L280" s="48"/>
      <c r="M280" s="473"/>
      <c r="N280" s="473"/>
      <c r="O280" s="473"/>
      <c r="P280" s="473"/>
      <c r="Q280" s="473"/>
      <c r="R280" s="473"/>
      <c r="S280" s="473"/>
      <c r="T280" s="473"/>
      <c r="U280" s="473"/>
      <c r="V280" s="473"/>
      <c r="W280" s="473"/>
    </row>
    <row r="281" spans="1:23" ht="11.25" hidden="1" customHeight="1" x14ac:dyDescent="0.2">
      <c r="A281" s="407">
        <f>'Org structure'!E109</f>
        <v>0</v>
      </c>
      <c r="B281" s="445"/>
      <c r="C281" s="394"/>
      <c r="D281" s="383"/>
      <c r="E281" s="384"/>
      <c r="F281" s="472"/>
      <c r="G281" s="384"/>
      <c r="H281" s="472"/>
      <c r="I281" s="44">
        <f t="shared" si="44"/>
        <v>0</v>
      </c>
      <c r="J281" s="330" t="str">
        <f t="shared" si="45"/>
        <v/>
      </c>
      <c r="K281" s="395"/>
      <c r="L281" s="48"/>
      <c r="M281" s="473"/>
      <c r="N281" s="473"/>
      <c r="O281" s="473"/>
      <c r="P281" s="473"/>
      <c r="Q281" s="473"/>
      <c r="R281" s="473"/>
      <c r="S281" s="473"/>
      <c r="T281" s="473"/>
      <c r="U281" s="473"/>
      <c r="V281" s="473"/>
      <c r="W281" s="473"/>
    </row>
    <row r="282" spans="1:23" ht="11.25" hidden="1" customHeight="1" x14ac:dyDescent="0.2">
      <c r="A282" s="407">
        <f>'Org structure'!E110</f>
        <v>0</v>
      </c>
      <c r="B282" s="445"/>
      <c r="C282" s="394"/>
      <c r="D282" s="383"/>
      <c r="E282" s="384"/>
      <c r="F282" s="472"/>
      <c r="G282" s="384"/>
      <c r="H282" s="472"/>
      <c r="I282" s="44">
        <f t="shared" si="44"/>
        <v>0</v>
      </c>
      <c r="J282" s="330" t="str">
        <f t="shared" si="45"/>
        <v/>
      </c>
      <c r="K282" s="395"/>
      <c r="L282" s="48"/>
      <c r="M282" s="473"/>
      <c r="N282" s="473"/>
      <c r="O282" s="473"/>
      <c r="P282" s="473"/>
      <c r="Q282" s="473"/>
      <c r="R282" s="473"/>
      <c r="S282" s="473"/>
      <c r="T282" s="473"/>
      <c r="U282" s="473"/>
      <c r="V282" s="473"/>
      <c r="W282" s="473"/>
    </row>
    <row r="283" spans="1:23" ht="11.25" hidden="1" customHeight="1" x14ac:dyDescent="0.2">
      <c r="A283" s="407">
        <f>'Org structure'!E111</f>
        <v>0</v>
      </c>
      <c r="B283" s="445"/>
      <c r="C283" s="394"/>
      <c r="D283" s="383"/>
      <c r="E283" s="384"/>
      <c r="F283" s="472"/>
      <c r="G283" s="384"/>
      <c r="H283" s="472"/>
      <c r="I283" s="44">
        <f t="shared" si="44"/>
        <v>0</v>
      </c>
      <c r="J283" s="330" t="str">
        <f t="shared" si="45"/>
        <v/>
      </c>
      <c r="K283" s="395"/>
      <c r="L283" s="48"/>
      <c r="M283" s="473"/>
      <c r="N283" s="473"/>
      <c r="O283" s="473"/>
      <c r="P283" s="473"/>
      <c r="Q283" s="473"/>
      <c r="R283" s="473"/>
      <c r="S283" s="473"/>
      <c r="T283" s="473"/>
      <c r="U283" s="473"/>
      <c r="V283" s="473"/>
      <c r="W283" s="473"/>
    </row>
    <row r="284" spans="1:23" ht="11.25" hidden="1" customHeight="1" x14ac:dyDescent="0.2">
      <c r="A284" s="466" t="str">
        <f>'Org structure'!A12</f>
        <v>Vote 11 - [NAME OF VOTE 11]</v>
      </c>
      <c r="B284" s="445"/>
      <c r="C284" s="503">
        <f t="shared" ref="C284:K284" si="47">SUM(C285:C294)</f>
        <v>0</v>
      </c>
      <c r="D284" s="444">
        <f t="shared" si="47"/>
        <v>0</v>
      </c>
      <c r="E284" s="441">
        <f t="shared" si="47"/>
        <v>0</v>
      </c>
      <c r="F284" s="443">
        <f t="shared" si="47"/>
        <v>0</v>
      </c>
      <c r="G284" s="441">
        <f t="shared" si="47"/>
        <v>0</v>
      </c>
      <c r="H284" s="443">
        <f t="shared" si="47"/>
        <v>0</v>
      </c>
      <c r="I284" s="44">
        <f t="shared" si="44"/>
        <v>0</v>
      </c>
      <c r="J284" s="330" t="str">
        <f t="shared" si="45"/>
        <v/>
      </c>
      <c r="K284" s="442">
        <f t="shared" si="47"/>
        <v>0</v>
      </c>
      <c r="L284" s="48"/>
      <c r="M284" s="473"/>
      <c r="N284" s="473"/>
      <c r="O284" s="473"/>
      <c r="P284" s="473"/>
      <c r="Q284" s="473"/>
      <c r="R284" s="473"/>
      <c r="S284" s="473"/>
      <c r="T284" s="473"/>
      <c r="U284" s="473"/>
      <c r="V284" s="473"/>
      <c r="W284" s="473"/>
    </row>
    <row r="285" spans="1:23" ht="11.25" hidden="1" customHeight="1" x14ac:dyDescent="0.2">
      <c r="A285" s="407" t="str">
        <f>'Org structure'!E113</f>
        <v>11.1 - [Name of sub-vote]</v>
      </c>
      <c r="B285" s="445"/>
      <c r="C285" s="394"/>
      <c r="D285" s="383"/>
      <c r="E285" s="384"/>
      <c r="F285" s="472"/>
      <c r="G285" s="384"/>
      <c r="H285" s="472"/>
      <c r="I285" s="44">
        <f t="shared" si="44"/>
        <v>0</v>
      </c>
      <c r="J285" s="330" t="str">
        <f t="shared" si="45"/>
        <v/>
      </c>
      <c r="K285" s="395"/>
      <c r="L285" s="48"/>
      <c r="M285" s="473"/>
      <c r="N285" s="473"/>
      <c r="O285" s="473"/>
      <c r="P285" s="473"/>
      <c r="Q285" s="473"/>
      <c r="R285" s="473"/>
      <c r="S285" s="473"/>
      <c r="T285" s="473"/>
      <c r="U285" s="473"/>
      <c r="V285" s="473"/>
      <c r="W285" s="473"/>
    </row>
    <row r="286" spans="1:23" ht="11.25" hidden="1" customHeight="1" x14ac:dyDescent="0.2">
      <c r="A286" s="407">
        <f>'Org structure'!E114</f>
        <v>0</v>
      </c>
      <c r="B286" s="445"/>
      <c r="C286" s="394"/>
      <c r="D286" s="383"/>
      <c r="E286" s="384"/>
      <c r="F286" s="472"/>
      <c r="G286" s="384"/>
      <c r="H286" s="472"/>
      <c r="I286" s="44">
        <f t="shared" si="44"/>
        <v>0</v>
      </c>
      <c r="J286" s="330" t="str">
        <f t="shared" si="45"/>
        <v/>
      </c>
      <c r="K286" s="395"/>
      <c r="L286" s="48"/>
      <c r="M286" s="473"/>
      <c r="N286" s="473"/>
      <c r="O286" s="473"/>
      <c r="P286" s="473"/>
      <c r="Q286" s="473"/>
      <c r="R286" s="473"/>
      <c r="S286" s="473"/>
      <c r="T286" s="473"/>
      <c r="U286" s="473"/>
      <c r="V286" s="473"/>
      <c r="W286" s="473"/>
    </row>
    <row r="287" spans="1:23" ht="11.25" hidden="1" customHeight="1" x14ac:dyDescent="0.2">
      <c r="A287" s="407">
        <f>'Org structure'!E115</f>
        <v>0</v>
      </c>
      <c r="B287" s="445"/>
      <c r="C287" s="394"/>
      <c r="D287" s="383"/>
      <c r="E287" s="384"/>
      <c r="F287" s="472"/>
      <c r="G287" s="384"/>
      <c r="H287" s="472"/>
      <c r="I287" s="44">
        <f t="shared" si="44"/>
        <v>0</v>
      </c>
      <c r="J287" s="330" t="str">
        <f t="shared" si="45"/>
        <v/>
      </c>
      <c r="K287" s="395"/>
      <c r="L287" s="48"/>
      <c r="M287" s="473"/>
      <c r="N287" s="473"/>
      <c r="O287" s="473"/>
      <c r="P287" s="473"/>
      <c r="Q287" s="473"/>
      <c r="R287" s="473"/>
      <c r="S287" s="473"/>
      <c r="T287" s="473"/>
      <c r="U287" s="473"/>
      <c r="V287" s="473"/>
      <c r="W287" s="473"/>
    </row>
    <row r="288" spans="1:23" ht="11.25" hidden="1" customHeight="1" x14ac:dyDescent="0.2">
      <c r="A288" s="407">
        <f>'Org structure'!E116</f>
        <v>0</v>
      </c>
      <c r="B288" s="445"/>
      <c r="C288" s="394"/>
      <c r="D288" s="383"/>
      <c r="E288" s="384"/>
      <c r="F288" s="472"/>
      <c r="G288" s="384"/>
      <c r="H288" s="472"/>
      <c r="I288" s="44">
        <f t="shared" si="44"/>
        <v>0</v>
      </c>
      <c r="J288" s="330" t="str">
        <f t="shared" si="45"/>
        <v/>
      </c>
      <c r="K288" s="395"/>
      <c r="L288" s="48"/>
      <c r="M288" s="473"/>
      <c r="N288" s="473"/>
      <c r="O288" s="473"/>
      <c r="P288" s="473"/>
      <c r="Q288" s="473"/>
      <c r="R288" s="473"/>
      <c r="S288" s="473"/>
      <c r="T288" s="473"/>
      <c r="U288" s="473"/>
      <c r="V288" s="473"/>
      <c r="W288" s="473"/>
    </row>
    <row r="289" spans="1:23" ht="11.25" hidden="1" customHeight="1" x14ac:dyDescent="0.2">
      <c r="A289" s="407">
        <f>'Org structure'!E117</f>
        <v>0</v>
      </c>
      <c r="B289" s="445"/>
      <c r="C289" s="394"/>
      <c r="D289" s="383"/>
      <c r="E289" s="384"/>
      <c r="F289" s="472"/>
      <c r="G289" s="384"/>
      <c r="H289" s="472"/>
      <c r="I289" s="44">
        <f t="shared" si="44"/>
        <v>0</v>
      </c>
      <c r="J289" s="330" t="str">
        <f t="shared" si="45"/>
        <v/>
      </c>
      <c r="K289" s="395"/>
      <c r="L289" s="48"/>
      <c r="M289" s="473"/>
      <c r="N289" s="473"/>
      <c r="O289" s="473"/>
      <c r="P289" s="473"/>
      <c r="Q289" s="473"/>
      <c r="R289" s="473"/>
      <c r="S289" s="473"/>
      <c r="T289" s="473"/>
      <c r="U289" s="473"/>
      <c r="V289" s="473"/>
      <c r="W289" s="473"/>
    </row>
    <row r="290" spans="1:23" ht="11.25" hidden="1" customHeight="1" x14ac:dyDescent="0.2">
      <c r="A290" s="407">
        <f>'Org structure'!E118</f>
        <v>0</v>
      </c>
      <c r="B290" s="445"/>
      <c r="C290" s="394"/>
      <c r="D290" s="383"/>
      <c r="E290" s="384"/>
      <c r="F290" s="472"/>
      <c r="G290" s="384"/>
      <c r="H290" s="472"/>
      <c r="I290" s="44">
        <f t="shared" si="44"/>
        <v>0</v>
      </c>
      <c r="J290" s="330" t="str">
        <f t="shared" si="45"/>
        <v/>
      </c>
      <c r="K290" s="395"/>
      <c r="L290" s="48"/>
      <c r="M290" s="473"/>
      <c r="N290" s="473"/>
      <c r="O290" s="473"/>
      <c r="P290" s="473"/>
      <c r="Q290" s="473"/>
      <c r="R290" s="473"/>
      <c r="S290" s="473"/>
      <c r="T290" s="473"/>
      <c r="U290" s="473"/>
      <c r="V290" s="473"/>
      <c r="W290" s="473"/>
    </row>
    <row r="291" spans="1:23" ht="11.25" hidden="1" customHeight="1" x14ac:dyDescent="0.2">
      <c r="A291" s="407">
        <f>'Org structure'!E119</f>
        <v>0</v>
      </c>
      <c r="B291" s="445"/>
      <c r="C291" s="394"/>
      <c r="D291" s="383"/>
      <c r="E291" s="384"/>
      <c r="F291" s="472"/>
      <c r="G291" s="384"/>
      <c r="H291" s="472"/>
      <c r="I291" s="44">
        <f t="shared" si="44"/>
        <v>0</v>
      </c>
      <c r="J291" s="330" t="str">
        <f t="shared" si="45"/>
        <v/>
      </c>
      <c r="K291" s="395"/>
      <c r="L291" s="48"/>
      <c r="M291" s="473"/>
      <c r="N291" s="473"/>
      <c r="O291" s="473"/>
      <c r="P291" s="473"/>
      <c r="Q291" s="473"/>
      <c r="R291" s="473"/>
      <c r="S291" s="473"/>
      <c r="T291" s="473"/>
      <c r="U291" s="473"/>
      <c r="V291" s="473"/>
      <c r="W291" s="473"/>
    </row>
    <row r="292" spans="1:23" ht="11.25" hidden="1" customHeight="1" x14ac:dyDescent="0.2">
      <c r="A292" s="407">
        <f>'Org structure'!E120</f>
        <v>0</v>
      </c>
      <c r="B292" s="445"/>
      <c r="C292" s="394"/>
      <c r="D292" s="383"/>
      <c r="E292" s="384"/>
      <c r="F292" s="472"/>
      <c r="G292" s="384"/>
      <c r="H292" s="472"/>
      <c r="I292" s="44">
        <f t="shared" si="44"/>
        <v>0</v>
      </c>
      <c r="J292" s="330" t="str">
        <f t="shared" si="45"/>
        <v/>
      </c>
      <c r="K292" s="395"/>
      <c r="L292" s="48"/>
      <c r="M292" s="473"/>
      <c r="N292" s="473"/>
      <c r="O292" s="473"/>
      <c r="P292" s="473"/>
      <c r="Q292" s="473"/>
      <c r="R292" s="473"/>
      <c r="S292" s="473"/>
      <c r="T292" s="473"/>
      <c r="U292" s="473"/>
      <c r="V292" s="473"/>
      <c r="W292" s="473"/>
    </row>
    <row r="293" spans="1:23" ht="11.25" hidden="1" customHeight="1" x14ac:dyDescent="0.2">
      <c r="A293" s="407">
        <f>'Org structure'!E121</f>
        <v>0</v>
      </c>
      <c r="B293" s="445"/>
      <c r="C293" s="394"/>
      <c r="D293" s="383"/>
      <c r="E293" s="384"/>
      <c r="F293" s="472"/>
      <c r="G293" s="384"/>
      <c r="H293" s="472"/>
      <c r="I293" s="44">
        <f t="shared" si="44"/>
        <v>0</v>
      </c>
      <c r="J293" s="330" t="str">
        <f t="shared" si="45"/>
        <v/>
      </c>
      <c r="K293" s="395"/>
      <c r="L293" s="48"/>
      <c r="M293" s="473"/>
      <c r="N293" s="473"/>
      <c r="O293" s="473"/>
      <c r="P293" s="473"/>
      <c r="Q293" s="473"/>
      <c r="R293" s="473"/>
      <c r="S293" s="473"/>
      <c r="T293" s="473"/>
      <c r="U293" s="473"/>
      <c r="V293" s="473"/>
      <c r="W293" s="473"/>
    </row>
    <row r="294" spans="1:23" ht="11.25" hidden="1" customHeight="1" x14ac:dyDescent="0.2">
      <c r="A294" s="407">
        <f>'Org structure'!E122</f>
        <v>0</v>
      </c>
      <c r="B294" s="445"/>
      <c r="C294" s="394"/>
      <c r="D294" s="383"/>
      <c r="E294" s="384"/>
      <c r="F294" s="472"/>
      <c r="G294" s="384"/>
      <c r="H294" s="472"/>
      <c r="I294" s="44">
        <f t="shared" si="44"/>
        <v>0</v>
      </c>
      <c r="J294" s="330" t="str">
        <f t="shared" si="45"/>
        <v/>
      </c>
      <c r="K294" s="395"/>
      <c r="L294" s="48"/>
      <c r="M294" s="473"/>
      <c r="N294" s="473"/>
      <c r="O294" s="473"/>
      <c r="P294" s="473"/>
      <c r="Q294" s="473"/>
      <c r="R294" s="473"/>
      <c r="S294" s="473"/>
      <c r="T294" s="473"/>
      <c r="U294" s="473"/>
      <c r="V294" s="473"/>
      <c r="W294" s="473"/>
    </row>
    <row r="295" spans="1:23" ht="11.25" hidden="1" customHeight="1" x14ac:dyDescent="0.2">
      <c r="A295" s="466" t="str">
        <f>'Org structure'!A13</f>
        <v>Vote 12 - [NAME OF VOTE 12]</v>
      </c>
      <c r="B295" s="445"/>
      <c r="C295" s="503">
        <f t="shared" ref="C295:K295" si="48">SUM(C296:C305)</f>
        <v>0</v>
      </c>
      <c r="D295" s="444">
        <f t="shared" si="48"/>
        <v>0</v>
      </c>
      <c r="E295" s="441">
        <f t="shared" si="48"/>
        <v>0</v>
      </c>
      <c r="F295" s="443">
        <f t="shared" si="48"/>
        <v>0</v>
      </c>
      <c r="G295" s="441">
        <f t="shared" si="48"/>
        <v>0</v>
      </c>
      <c r="H295" s="443">
        <f t="shared" si="48"/>
        <v>0</v>
      </c>
      <c r="I295" s="44">
        <f t="shared" si="44"/>
        <v>0</v>
      </c>
      <c r="J295" s="330" t="str">
        <f t="shared" si="45"/>
        <v/>
      </c>
      <c r="K295" s="442">
        <f t="shared" si="48"/>
        <v>0</v>
      </c>
      <c r="L295" s="48"/>
      <c r="M295" s="473"/>
      <c r="N295" s="473"/>
      <c r="O295" s="473"/>
      <c r="P295" s="473"/>
      <c r="Q295" s="473"/>
      <c r="R295" s="473"/>
      <c r="S295" s="473"/>
      <c r="T295" s="473"/>
      <c r="U295" s="473"/>
      <c r="V295" s="473"/>
      <c r="W295" s="473"/>
    </row>
    <row r="296" spans="1:23" ht="11.25" hidden="1" customHeight="1" x14ac:dyDescent="0.2">
      <c r="A296" s="407" t="str">
        <f>'Org structure'!E124</f>
        <v>12.1 - [Name of sub-vote]</v>
      </c>
      <c r="B296" s="445"/>
      <c r="C296" s="394"/>
      <c r="D296" s="383"/>
      <c r="E296" s="384"/>
      <c r="F296" s="472"/>
      <c r="G296" s="384"/>
      <c r="H296" s="472"/>
      <c r="I296" s="44">
        <f t="shared" si="44"/>
        <v>0</v>
      </c>
      <c r="J296" s="330" t="str">
        <f t="shared" si="45"/>
        <v/>
      </c>
      <c r="K296" s="395"/>
      <c r="L296" s="48"/>
      <c r="M296" s="473"/>
      <c r="N296" s="473"/>
      <c r="O296" s="473"/>
      <c r="P296" s="473"/>
      <c r="Q296" s="473"/>
      <c r="R296" s="473"/>
      <c r="S296" s="473"/>
      <c r="T296" s="473"/>
      <c r="U296" s="473"/>
      <c r="V296" s="473"/>
      <c r="W296" s="473"/>
    </row>
    <row r="297" spans="1:23" ht="11.25" hidden="1" customHeight="1" x14ac:dyDescent="0.2">
      <c r="A297" s="407">
        <f>'Org structure'!E125</f>
        <v>0</v>
      </c>
      <c r="B297" s="445"/>
      <c r="C297" s="394"/>
      <c r="D297" s="383"/>
      <c r="E297" s="384"/>
      <c r="F297" s="472"/>
      <c r="G297" s="384"/>
      <c r="H297" s="472"/>
      <c r="I297" s="44">
        <f t="shared" si="44"/>
        <v>0</v>
      </c>
      <c r="J297" s="330" t="str">
        <f t="shared" si="45"/>
        <v/>
      </c>
      <c r="K297" s="395"/>
      <c r="L297" s="48"/>
      <c r="M297" s="473"/>
      <c r="N297" s="473"/>
      <c r="O297" s="473"/>
      <c r="P297" s="473"/>
      <c r="Q297" s="473"/>
      <c r="R297" s="473"/>
      <c r="S297" s="473"/>
      <c r="T297" s="473"/>
      <c r="U297" s="473"/>
      <c r="V297" s="473"/>
      <c r="W297" s="473"/>
    </row>
    <row r="298" spans="1:23" ht="11.25" hidden="1" customHeight="1" x14ac:dyDescent="0.2">
      <c r="A298" s="407">
        <f>'Org structure'!E126</f>
        <v>0</v>
      </c>
      <c r="B298" s="445"/>
      <c r="C298" s="394"/>
      <c r="D298" s="383"/>
      <c r="E298" s="384"/>
      <c r="F298" s="472"/>
      <c r="G298" s="384"/>
      <c r="H298" s="472"/>
      <c r="I298" s="44">
        <f t="shared" si="44"/>
        <v>0</v>
      </c>
      <c r="J298" s="330" t="str">
        <f t="shared" si="45"/>
        <v/>
      </c>
      <c r="K298" s="395"/>
      <c r="L298" s="48"/>
      <c r="M298" s="473"/>
      <c r="N298" s="473"/>
      <c r="O298" s="473"/>
      <c r="P298" s="473"/>
      <c r="Q298" s="473"/>
      <c r="R298" s="473"/>
      <c r="S298" s="473"/>
      <c r="T298" s="473"/>
      <c r="U298" s="473"/>
      <c r="V298" s="473"/>
      <c r="W298" s="473"/>
    </row>
    <row r="299" spans="1:23" ht="11.25" hidden="1" customHeight="1" x14ac:dyDescent="0.2">
      <c r="A299" s="407">
        <f>'Org structure'!E127</f>
        <v>0</v>
      </c>
      <c r="B299" s="445"/>
      <c r="C299" s="394"/>
      <c r="D299" s="383"/>
      <c r="E299" s="384"/>
      <c r="F299" s="472"/>
      <c r="G299" s="384"/>
      <c r="H299" s="472"/>
      <c r="I299" s="44">
        <f t="shared" si="44"/>
        <v>0</v>
      </c>
      <c r="J299" s="330" t="str">
        <f t="shared" si="45"/>
        <v/>
      </c>
      <c r="K299" s="395"/>
      <c r="L299" s="48"/>
      <c r="M299" s="473"/>
      <c r="N299" s="473"/>
      <c r="O299" s="473"/>
      <c r="P299" s="473"/>
      <c r="Q299" s="473"/>
      <c r="R299" s="473"/>
      <c r="S299" s="473"/>
      <c r="T299" s="473"/>
      <c r="U299" s="473"/>
      <c r="V299" s="473"/>
      <c r="W299" s="473"/>
    </row>
    <row r="300" spans="1:23" ht="11.25" hidden="1" customHeight="1" x14ac:dyDescent="0.2">
      <c r="A300" s="407">
        <f>'Org structure'!E128</f>
        <v>0</v>
      </c>
      <c r="B300" s="445"/>
      <c r="C300" s="394"/>
      <c r="D300" s="383"/>
      <c r="E300" s="384"/>
      <c r="F300" s="472"/>
      <c r="G300" s="384"/>
      <c r="H300" s="472"/>
      <c r="I300" s="44">
        <f t="shared" si="44"/>
        <v>0</v>
      </c>
      <c r="J300" s="330" t="str">
        <f t="shared" si="45"/>
        <v/>
      </c>
      <c r="K300" s="395"/>
      <c r="L300" s="48"/>
      <c r="M300" s="473"/>
      <c r="N300" s="473"/>
      <c r="O300" s="473"/>
      <c r="P300" s="473"/>
      <c r="Q300" s="473"/>
      <c r="R300" s="473"/>
      <c r="S300" s="473"/>
      <c r="T300" s="473"/>
      <c r="U300" s="473"/>
      <c r="V300" s="473"/>
      <c r="W300" s="473"/>
    </row>
    <row r="301" spans="1:23" ht="11.25" hidden="1" customHeight="1" x14ac:dyDescent="0.2">
      <c r="A301" s="407">
        <f>'Org structure'!E129</f>
        <v>0</v>
      </c>
      <c r="B301" s="445"/>
      <c r="C301" s="394"/>
      <c r="D301" s="383"/>
      <c r="E301" s="384"/>
      <c r="F301" s="472"/>
      <c r="G301" s="384"/>
      <c r="H301" s="472"/>
      <c r="I301" s="44">
        <f t="shared" si="44"/>
        <v>0</v>
      </c>
      <c r="J301" s="330" t="str">
        <f t="shared" si="45"/>
        <v/>
      </c>
      <c r="K301" s="395"/>
      <c r="L301" s="48"/>
      <c r="M301" s="473"/>
      <c r="N301" s="473"/>
      <c r="O301" s="473"/>
      <c r="P301" s="473"/>
      <c r="Q301" s="473"/>
      <c r="R301" s="473"/>
      <c r="S301" s="473"/>
      <c r="T301" s="473"/>
      <c r="U301" s="473"/>
      <c r="V301" s="473"/>
      <c r="W301" s="473"/>
    </row>
    <row r="302" spans="1:23" ht="11.25" hidden="1" customHeight="1" x14ac:dyDescent="0.2">
      <c r="A302" s="407">
        <f>'Org structure'!E130</f>
        <v>0</v>
      </c>
      <c r="B302" s="445"/>
      <c r="C302" s="394"/>
      <c r="D302" s="383"/>
      <c r="E302" s="384"/>
      <c r="F302" s="472"/>
      <c r="G302" s="384"/>
      <c r="H302" s="472"/>
      <c r="I302" s="44">
        <f t="shared" si="44"/>
        <v>0</v>
      </c>
      <c r="J302" s="330" t="str">
        <f t="shared" si="45"/>
        <v/>
      </c>
      <c r="K302" s="395"/>
      <c r="L302" s="48"/>
      <c r="M302" s="473"/>
      <c r="N302" s="473"/>
      <c r="O302" s="473"/>
      <c r="P302" s="473"/>
      <c r="Q302" s="473"/>
      <c r="R302" s="473"/>
      <c r="S302" s="473"/>
      <c r="T302" s="473"/>
      <c r="U302" s="473"/>
      <c r="V302" s="473"/>
      <c r="W302" s="473"/>
    </row>
    <row r="303" spans="1:23" ht="11.25" hidden="1" customHeight="1" x14ac:dyDescent="0.2">
      <c r="A303" s="407">
        <f>'Org structure'!E131</f>
        <v>0</v>
      </c>
      <c r="B303" s="445"/>
      <c r="C303" s="394"/>
      <c r="D303" s="383"/>
      <c r="E303" s="384"/>
      <c r="F303" s="472"/>
      <c r="G303" s="384"/>
      <c r="H303" s="472"/>
      <c r="I303" s="44">
        <f t="shared" si="44"/>
        <v>0</v>
      </c>
      <c r="J303" s="330" t="str">
        <f t="shared" si="45"/>
        <v/>
      </c>
      <c r="K303" s="395"/>
      <c r="L303" s="48"/>
      <c r="M303" s="473"/>
      <c r="N303" s="473"/>
      <c r="O303" s="473"/>
      <c r="P303" s="473"/>
      <c r="Q303" s="473"/>
      <c r="R303" s="473"/>
      <c r="S303" s="473"/>
      <c r="T303" s="473"/>
      <c r="U303" s="473"/>
      <c r="V303" s="473"/>
      <c r="W303" s="473"/>
    </row>
    <row r="304" spans="1:23" ht="11.25" hidden="1" customHeight="1" x14ac:dyDescent="0.2">
      <c r="A304" s="407">
        <f>'Org structure'!E132</f>
        <v>0</v>
      </c>
      <c r="B304" s="445"/>
      <c r="C304" s="394"/>
      <c r="D304" s="383"/>
      <c r="E304" s="384"/>
      <c r="F304" s="472"/>
      <c r="G304" s="384"/>
      <c r="H304" s="472"/>
      <c r="I304" s="44">
        <f t="shared" si="44"/>
        <v>0</v>
      </c>
      <c r="J304" s="330" t="str">
        <f t="shared" si="45"/>
        <v/>
      </c>
      <c r="K304" s="395"/>
      <c r="L304" s="48"/>
      <c r="M304" s="473"/>
      <c r="N304" s="473"/>
      <c r="O304" s="473"/>
      <c r="P304" s="473"/>
      <c r="Q304" s="473"/>
      <c r="R304" s="473"/>
      <c r="S304" s="473"/>
      <c r="T304" s="473"/>
      <c r="U304" s="473"/>
      <c r="V304" s="473"/>
      <c r="W304" s="473"/>
    </row>
    <row r="305" spans="1:23" ht="11.25" hidden="1" customHeight="1" x14ac:dyDescent="0.2">
      <c r="A305" s="407">
        <f>'Org structure'!E133</f>
        <v>0</v>
      </c>
      <c r="B305" s="445"/>
      <c r="C305" s="394"/>
      <c r="D305" s="383"/>
      <c r="E305" s="384"/>
      <c r="F305" s="472"/>
      <c r="G305" s="384"/>
      <c r="H305" s="472"/>
      <c r="I305" s="44">
        <f t="shared" si="44"/>
        <v>0</v>
      </c>
      <c r="J305" s="330" t="str">
        <f t="shared" si="45"/>
        <v/>
      </c>
      <c r="K305" s="395"/>
      <c r="L305" s="48"/>
      <c r="M305" s="473"/>
      <c r="N305" s="473"/>
      <c r="O305" s="473"/>
      <c r="P305" s="473"/>
      <c r="Q305" s="473"/>
      <c r="R305" s="473"/>
      <c r="S305" s="473"/>
      <c r="T305" s="473"/>
      <c r="U305" s="473"/>
      <c r="V305" s="473"/>
      <c r="W305" s="473"/>
    </row>
    <row r="306" spans="1:23" ht="11.25" hidden="1" customHeight="1" x14ac:dyDescent="0.2">
      <c r="A306" s="466" t="str">
        <f>'Org structure'!A14</f>
        <v>Vote 13 - [NAME OF VOTE 13]</v>
      </c>
      <c r="B306" s="445"/>
      <c r="C306" s="503">
        <f t="shared" ref="C306:K306" si="49">SUM(C307:C316)</f>
        <v>0</v>
      </c>
      <c r="D306" s="444">
        <f t="shared" si="49"/>
        <v>0</v>
      </c>
      <c r="E306" s="441">
        <f t="shared" si="49"/>
        <v>0</v>
      </c>
      <c r="F306" s="443">
        <f t="shared" si="49"/>
        <v>0</v>
      </c>
      <c r="G306" s="441">
        <f t="shared" si="49"/>
        <v>0</v>
      </c>
      <c r="H306" s="443">
        <f t="shared" si="49"/>
        <v>0</v>
      </c>
      <c r="I306" s="44">
        <f t="shared" si="44"/>
        <v>0</v>
      </c>
      <c r="J306" s="330" t="str">
        <f t="shared" si="45"/>
        <v/>
      </c>
      <c r="K306" s="442">
        <f t="shared" si="49"/>
        <v>0</v>
      </c>
      <c r="L306" s="48"/>
      <c r="M306" s="473"/>
      <c r="N306" s="473"/>
      <c r="O306" s="473"/>
      <c r="P306" s="473"/>
      <c r="Q306" s="473"/>
      <c r="R306" s="473"/>
      <c r="S306" s="473"/>
      <c r="T306" s="473"/>
      <c r="U306" s="473"/>
      <c r="V306" s="473"/>
      <c r="W306" s="473"/>
    </row>
    <row r="307" spans="1:23" ht="11.25" hidden="1" customHeight="1" x14ac:dyDescent="0.2">
      <c r="A307" s="407" t="str">
        <f>'Org structure'!E135</f>
        <v>13.1 - [Name of sub-vote]</v>
      </c>
      <c r="B307" s="445"/>
      <c r="C307" s="394"/>
      <c r="D307" s="383"/>
      <c r="E307" s="384"/>
      <c r="F307" s="472"/>
      <c r="G307" s="384"/>
      <c r="H307" s="472"/>
      <c r="I307" s="44">
        <f t="shared" si="44"/>
        <v>0</v>
      </c>
      <c r="J307" s="330" t="str">
        <f t="shared" si="45"/>
        <v/>
      </c>
      <c r="K307" s="395"/>
      <c r="L307" s="48"/>
      <c r="M307" s="473"/>
      <c r="N307" s="473"/>
      <c r="O307" s="473"/>
      <c r="P307" s="473"/>
      <c r="Q307" s="473"/>
      <c r="R307" s="473"/>
      <c r="S307" s="473"/>
      <c r="T307" s="473"/>
      <c r="U307" s="473"/>
      <c r="V307" s="473"/>
      <c r="W307" s="473"/>
    </row>
    <row r="308" spans="1:23" ht="11.25" hidden="1" customHeight="1" x14ac:dyDescent="0.2">
      <c r="A308" s="407">
        <f>'Org structure'!E136</f>
        <v>0</v>
      </c>
      <c r="B308" s="445"/>
      <c r="C308" s="394"/>
      <c r="D308" s="383"/>
      <c r="E308" s="384"/>
      <c r="F308" s="472"/>
      <c r="G308" s="384"/>
      <c r="H308" s="472"/>
      <c r="I308" s="44">
        <f t="shared" si="44"/>
        <v>0</v>
      </c>
      <c r="J308" s="330" t="str">
        <f t="shared" si="45"/>
        <v/>
      </c>
      <c r="K308" s="395"/>
      <c r="L308" s="48"/>
      <c r="M308" s="473"/>
      <c r="N308" s="473"/>
      <c r="O308" s="473"/>
      <c r="P308" s="473"/>
      <c r="Q308" s="473"/>
      <c r="R308" s="473"/>
      <c r="S308" s="473"/>
      <c r="T308" s="473"/>
      <c r="U308" s="473"/>
      <c r="V308" s="473"/>
      <c r="W308" s="473"/>
    </row>
    <row r="309" spans="1:23" ht="11.25" hidden="1" customHeight="1" x14ac:dyDescent="0.2">
      <c r="A309" s="407">
        <f>'Org structure'!E137</f>
        <v>0</v>
      </c>
      <c r="B309" s="445"/>
      <c r="C309" s="394"/>
      <c r="D309" s="383"/>
      <c r="E309" s="384"/>
      <c r="F309" s="472"/>
      <c r="G309" s="384"/>
      <c r="H309" s="472"/>
      <c r="I309" s="44">
        <f t="shared" si="44"/>
        <v>0</v>
      </c>
      <c r="J309" s="330" t="str">
        <f t="shared" si="45"/>
        <v/>
      </c>
      <c r="K309" s="395"/>
      <c r="L309" s="48"/>
      <c r="M309" s="473"/>
      <c r="N309" s="473"/>
      <c r="O309" s="473"/>
      <c r="P309" s="473"/>
      <c r="Q309" s="473"/>
      <c r="R309" s="473"/>
      <c r="S309" s="473"/>
      <c r="T309" s="473"/>
      <c r="U309" s="473"/>
      <c r="V309" s="473"/>
      <c r="W309" s="473"/>
    </row>
    <row r="310" spans="1:23" ht="11.25" hidden="1" customHeight="1" x14ac:dyDescent="0.2">
      <c r="A310" s="407">
        <f>'Org structure'!E138</f>
        <v>0</v>
      </c>
      <c r="B310" s="445"/>
      <c r="C310" s="394"/>
      <c r="D310" s="383"/>
      <c r="E310" s="384"/>
      <c r="F310" s="472"/>
      <c r="G310" s="384"/>
      <c r="H310" s="472"/>
      <c r="I310" s="44">
        <f t="shared" si="44"/>
        <v>0</v>
      </c>
      <c r="J310" s="330" t="str">
        <f t="shared" si="45"/>
        <v/>
      </c>
      <c r="K310" s="395"/>
      <c r="L310" s="48"/>
      <c r="M310" s="473"/>
      <c r="N310" s="473"/>
      <c r="O310" s="473"/>
      <c r="P310" s="473"/>
      <c r="Q310" s="473"/>
      <c r="R310" s="473"/>
      <c r="S310" s="473"/>
      <c r="T310" s="473"/>
      <c r="U310" s="473"/>
      <c r="V310" s="473"/>
      <c r="W310" s="473"/>
    </row>
    <row r="311" spans="1:23" ht="11.25" hidden="1" customHeight="1" x14ac:dyDescent="0.2">
      <c r="A311" s="407">
        <f>'Org structure'!E139</f>
        <v>0</v>
      </c>
      <c r="B311" s="445"/>
      <c r="C311" s="394"/>
      <c r="D311" s="383"/>
      <c r="E311" s="384"/>
      <c r="F311" s="472"/>
      <c r="G311" s="384"/>
      <c r="H311" s="472"/>
      <c r="I311" s="44">
        <f t="shared" si="44"/>
        <v>0</v>
      </c>
      <c r="J311" s="330" t="str">
        <f t="shared" si="45"/>
        <v/>
      </c>
      <c r="K311" s="395"/>
      <c r="L311" s="48"/>
      <c r="M311" s="473"/>
      <c r="N311" s="473"/>
      <c r="O311" s="473"/>
      <c r="P311" s="473"/>
      <c r="Q311" s="473"/>
      <c r="R311" s="473"/>
      <c r="S311" s="473"/>
      <c r="T311" s="473"/>
      <c r="U311" s="473"/>
      <c r="V311" s="473"/>
      <c r="W311" s="473"/>
    </row>
    <row r="312" spans="1:23" ht="11.25" hidden="1" customHeight="1" x14ac:dyDescent="0.2">
      <c r="A312" s="407">
        <f>'Org structure'!E140</f>
        <v>0</v>
      </c>
      <c r="B312" s="445"/>
      <c r="C312" s="394"/>
      <c r="D312" s="383"/>
      <c r="E312" s="384"/>
      <c r="F312" s="472"/>
      <c r="G312" s="384"/>
      <c r="H312" s="472"/>
      <c r="I312" s="44">
        <f t="shared" si="44"/>
        <v>0</v>
      </c>
      <c r="J312" s="330" t="str">
        <f t="shared" si="45"/>
        <v/>
      </c>
      <c r="K312" s="395"/>
      <c r="L312" s="48"/>
      <c r="M312" s="473"/>
      <c r="N312" s="473"/>
      <c r="O312" s="473"/>
      <c r="P312" s="473"/>
      <c r="Q312" s="473"/>
      <c r="R312" s="473"/>
      <c r="S312" s="473"/>
      <c r="T312" s="473"/>
      <c r="U312" s="473"/>
      <c r="V312" s="473"/>
      <c r="W312" s="473"/>
    </row>
    <row r="313" spans="1:23" ht="11.25" hidden="1" customHeight="1" x14ac:dyDescent="0.2">
      <c r="A313" s="407">
        <f>'Org structure'!E141</f>
        <v>0</v>
      </c>
      <c r="B313" s="445"/>
      <c r="C313" s="394"/>
      <c r="D313" s="383"/>
      <c r="E313" s="384"/>
      <c r="F313" s="472"/>
      <c r="G313" s="384"/>
      <c r="H313" s="472"/>
      <c r="I313" s="44">
        <f t="shared" si="44"/>
        <v>0</v>
      </c>
      <c r="J313" s="330" t="str">
        <f t="shared" si="45"/>
        <v/>
      </c>
      <c r="K313" s="395"/>
      <c r="L313" s="48"/>
      <c r="M313" s="473"/>
      <c r="N313" s="473"/>
      <c r="O313" s="473"/>
      <c r="P313" s="473"/>
      <c r="Q313" s="473"/>
      <c r="R313" s="473"/>
      <c r="S313" s="473"/>
      <c r="T313" s="473"/>
      <c r="U313" s="473"/>
      <c r="V313" s="473"/>
      <c r="W313" s="473"/>
    </row>
    <row r="314" spans="1:23" ht="11.25" hidden="1" customHeight="1" x14ac:dyDescent="0.2">
      <c r="A314" s="407">
        <f>'Org structure'!E142</f>
        <v>0</v>
      </c>
      <c r="B314" s="445"/>
      <c r="C314" s="394"/>
      <c r="D314" s="383"/>
      <c r="E314" s="384"/>
      <c r="F314" s="472"/>
      <c r="G314" s="384"/>
      <c r="H314" s="472"/>
      <c r="I314" s="44">
        <f t="shared" si="44"/>
        <v>0</v>
      </c>
      <c r="J314" s="330" t="str">
        <f t="shared" si="45"/>
        <v/>
      </c>
      <c r="K314" s="395"/>
      <c r="L314" s="48"/>
      <c r="M314" s="473"/>
      <c r="N314" s="473"/>
      <c r="O314" s="473"/>
      <c r="P314" s="473"/>
      <c r="Q314" s="473"/>
      <c r="R314" s="473"/>
      <c r="S314" s="473"/>
      <c r="T314" s="473"/>
      <c r="U314" s="473"/>
      <c r="V314" s="473"/>
      <c r="W314" s="473"/>
    </row>
    <row r="315" spans="1:23" ht="11.25" hidden="1" customHeight="1" x14ac:dyDescent="0.2">
      <c r="A315" s="407">
        <f>'Org structure'!E143</f>
        <v>0</v>
      </c>
      <c r="B315" s="445"/>
      <c r="C315" s="394"/>
      <c r="D315" s="383"/>
      <c r="E315" s="384"/>
      <c r="F315" s="472"/>
      <c r="G315" s="384"/>
      <c r="H315" s="472"/>
      <c r="I315" s="44">
        <f t="shared" si="44"/>
        <v>0</v>
      </c>
      <c r="J315" s="330" t="str">
        <f t="shared" si="45"/>
        <v/>
      </c>
      <c r="K315" s="395"/>
      <c r="L315" s="48"/>
      <c r="M315" s="473"/>
      <c r="N315" s="473"/>
      <c r="O315" s="473"/>
      <c r="P315" s="473"/>
      <c r="Q315" s="473"/>
      <c r="R315" s="473"/>
      <c r="S315" s="473"/>
      <c r="T315" s="473"/>
      <c r="U315" s="473"/>
      <c r="V315" s="473"/>
      <c r="W315" s="473"/>
    </row>
    <row r="316" spans="1:23" ht="11.25" hidden="1" customHeight="1" x14ac:dyDescent="0.2">
      <c r="A316" s="407">
        <f>'Org structure'!E144</f>
        <v>0</v>
      </c>
      <c r="B316" s="445"/>
      <c r="C316" s="394"/>
      <c r="D316" s="383"/>
      <c r="E316" s="384"/>
      <c r="F316" s="472"/>
      <c r="G316" s="384"/>
      <c r="H316" s="472"/>
      <c r="I316" s="44">
        <f t="shared" si="44"/>
        <v>0</v>
      </c>
      <c r="J316" s="330" t="str">
        <f t="shared" si="45"/>
        <v/>
      </c>
      <c r="K316" s="395"/>
      <c r="L316" s="48"/>
      <c r="M316" s="473"/>
      <c r="N316" s="473"/>
      <c r="O316" s="473"/>
      <c r="P316" s="473"/>
      <c r="Q316" s="473"/>
      <c r="R316" s="473"/>
      <c r="S316" s="473"/>
      <c r="T316" s="473"/>
      <c r="U316" s="473"/>
      <c r="V316" s="473"/>
      <c r="W316" s="473"/>
    </row>
    <row r="317" spans="1:23" ht="11.25" hidden="1" customHeight="1" x14ac:dyDescent="0.2">
      <c r="A317" s="466" t="str">
        <f>'Org structure'!A15</f>
        <v>Vote 14 - [NAME OF VOTE 14]</v>
      </c>
      <c r="B317" s="445"/>
      <c r="C317" s="503">
        <f t="shared" ref="C317:K317" si="50">SUM(C318:C327)</f>
        <v>0</v>
      </c>
      <c r="D317" s="444">
        <f t="shared" si="50"/>
        <v>0</v>
      </c>
      <c r="E317" s="441">
        <f t="shared" si="50"/>
        <v>0</v>
      </c>
      <c r="F317" s="443">
        <f t="shared" si="50"/>
        <v>0</v>
      </c>
      <c r="G317" s="441">
        <f t="shared" si="50"/>
        <v>0</v>
      </c>
      <c r="H317" s="443">
        <f t="shared" si="50"/>
        <v>0</v>
      </c>
      <c r="I317" s="44">
        <f t="shared" si="44"/>
        <v>0</v>
      </c>
      <c r="J317" s="330" t="str">
        <f t="shared" si="45"/>
        <v/>
      </c>
      <c r="K317" s="442">
        <f t="shared" si="50"/>
        <v>0</v>
      </c>
      <c r="L317" s="48"/>
      <c r="M317" s="473"/>
      <c r="N317" s="473"/>
      <c r="O317" s="473"/>
      <c r="P317" s="473"/>
      <c r="Q317" s="473"/>
      <c r="R317" s="473"/>
      <c r="S317" s="473"/>
      <c r="T317" s="473"/>
      <c r="U317" s="473"/>
      <c r="V317" s="473"/>
      <c r="W317" s="473"/>
    </row>
    <row r="318" spans="1:23" ht="11.25" hidden="1" customHeight="1" x14ac:dyDescent="0.2">
      <c r="A318" s="407" t="str">
        <f>'Org structure'!E146</f>
        <v>14.1 - [Name of sub-vote]</v>
      </c>
      <c r="B318" s="445"/>
      <c r="C318" s="394"/>
      <c r="D318" s="383"/>
      <c r="E318" s="384"/>
      <c r="F318" s="472"/>
      <c r="G318" s="384"/>
      <c r="H318" s="472"/>
      <c r="I318" s="44">
        <f t="shared" si="44"/>
        <v>0</v>
      </c>
      <c r="J318" s="330" t="str">
        <f t="shared" si="45"/>
        <v/>
      </c>
      <c r="K318" s="395"/>
      <c r="L318" s="48"/>
      <c r="M318" s="473"/>
      <c r="N318" s="473"/>
      <c r="O318" s="473"/>
      <c r="P318" s="473"/>
      <c r="Q318" s="473"/>
      <c r="R318" s="473"/>
      <c r="S318" s="473"/>
      <c r="T318" s="473"/>
      <c r="U318" s="473"/>
      <c r="V318" s="473"/>
      <c r="W318" s="473"/>
    </row>
    <row r="319" spans="1:23" ht="11.25" hidden="1" customHeight="1" x14ac:dyDescent="0.2">
      <c r="A319" s="407">
        <f>'Org structure'!E147</f>
        <v>0</v>
      </c>
      <c r="B319" s="445"/>
      <c r="C319" s="394"/>
      <c r="D319" s="383"/>
      <c r="E319" s="384"/>
      <c r="F319" s="472"/>
      <c r="G319" s="384"/>
      <c r="H319" s="472"/>
      <c r="I319" s="44">
        <f t="shared" si="44"/>
        <v>0</v>
      </c>
      <c r="J319" s="330" t="str">
        <f t="shared" si="45"/>
        <v/>
      </c>
      <c r="K319" s="395"/>
      <c r="L319" s="48"/>
      <c r="M319" s="473"/>
      <c r="N319" s="473"/>
      <c r="O319" s="473"/>
      <c r="P319" s="473"/>
      <c r="Q319" s="473"/>
      <c r="R319" s="473"/>
      <c r="S319" s="473"/>
      <c r="T319" s="473"/>
      <c r="U319" s="473"/>
      <c r="V319" s="473"/>
      <c r="W319" s="473"/>
    </row>
    <row r="320" spans="1:23" ht="11.25" hidden="1" customHeight="1" x14ac:dyDescent="0.2">
      <c r="A320" s="407">
        <f>'Org structure'!E148</f>
        <v>0</v>
      </c>
      <c r="B320" s="445"/>
      <c r="C320" s="394"/>
      <c r="D320" s="383"/>
      <c r="E320" s="384"/>
      <c r="F320" s="472"/>
      <c r="G320" s="384"/>
      <c r="H320" s="472"/>
      <c r="I320" s="44">
        <f t="shared" si="44"/>
        <v>0</v>
      </c>
      <c r="J320" s="330" t="str">
        <f t="shared" si="45"/>
        <v/>
      </c>
      <c r="K320" s="395"/>
      <c r="L320" s="48"/>
      <c r="M320" s="473"/>
      <c r="N320" s="473"/>
      <c r="O320" s="473"/>
      <c r="P320" s="473"/>
      <c r="Q320" s="473"/>
      <c r="R320" s="473"/>
      <c r="S320" s="473"/>
      <c r="T320" s="473"/>
      <c r="U320" s="473"/>
      <c r="V320" s="473"/>
      <c r="W320" s="473"/>
    </row>
    <row r="321" spans="1:23" ht="11.25" hidden="1" customHeight="1" x14ac:dyDescent="0.2">
      <c r="A321" s="407">
        <f>'Org structure'!E149</f>
        <v>0</v>
      </c>
      <c r="B321" s="445"/>
      <c r="C321" s="394"/>
      <c r="D321" s="383"/>
      <c r="E321" s="384"/>
      <c r="F321" s="472"/>
      <c r="G321" s="384"/>
      <c r="H321" s="472"/>
      <c r="I321" s="44">
        <f t="shared" si="44"/>
        <v>0</v>
      </c>
      <c r="J321" s="330" t="str">
        <f t="shared" si="45"/>
        <v/>
      </c>
      <c r="K321" s="395"/>
      <c r="L321" s="48"/>
      <c r="M321" s="473"/>
      <c r="N321" s="473"/>
      <c r="O321" s="473"/>
      <c r="P321" s="473"/>
      <c r="Q321" s="473"/>
      <c r="R321" s="473"/>
      <c r="S321" s="473"/>
      <c r="T321" s="473"/>
      <c r="U321" s="473"/>
      <c r="V321" s="473"/>
      <c r="W321" s="473"/>
    </row>
    <row r="322" spans="1:23" ht="11.25" hidden="1" customHeight="1" x14ac:dyDescent="0.2">
      <c r="A322" s="407">
        <f>'Org structure'!E150</f>
        <v>0</v>
      </c>
      <c r="B322" s="445"/>
      <c r="C322" s="394"/>
      <c r="D322" s="383"/>
      <c r="E322" s="384"/>
      <c r="F322" s="472"/>
      <c r="G322" s="384"/>
      <c r="H322" s="472"/>
      <c r="I322" s="44">
        <f t="shared" si="44"/>
        <v>0</v>
      </c>
      <c r="J322" s="330" t="str">
        <f t="shared" si="45"/>
        <v/>
      </c>
      <c r="K322" s="395"/>
      <c r="L322" s="48"/>
      <c r="M322" s="473"/>
      <c r="N322" s="473"/>
      <c r="O322" s="473"/>
      <c r="P322" s="473"/>
      <c r="Q322" s="473"/>
      <c r="R322" s="473"/>
      <c r="S322" s="473"/>
      <c r="T322" s="473"/>
      <c r="U322" s="473"/>
      <c r="V322" s="473"/>
      <c r="W322" s="473"/>
    </row>
    <row r="323" spans="1:23" ht="11.25" hidden="1" customHeight="1" x14ac:dyDescent="0.2">
      <c r="A323" s="407">
        <f>'Org structure'!E151</f>
        <v>0</v>
      </c>
      <c r="B323" s="445"/>
      <c r="C323" s="394"/>
      <c r="D323" s="383"/>
      <c r="E323" s="384"/>
      <c r="F323" s="472"/>
      <c r="G323" s="384"/>
      <c r="H323" s="472"/>
      <c r="I323" s="44">
        <f t="shared" si="44"/>
        <v>0</v>
      </c>
      <c r="J323" s="330" t="str">
        <f t="shared" si="45"/>
        <v/>
      </c>
      <c r="K323" s="395"/>
      <c r="L323" s="48"/>
      <c r="M323" s="473"/>
      <c r="N323" s="473"/>
      <c r="O323" s="473"/>
      <c r="P323" s="473"/>
      <c r="Q323" s="473"/>
      <c r="R323" s="473"/>
      <c r="S323" s="473"/>
      <c r="T323" s="473"/>
      <c r="U323" s="473"/>
      <c r="V323" s="473"/>
      <c r="W323" s="473"/>
    </row>
    <row r="324" spans="1:23" ht="11.25" hidden="1" customHeight="1" x14ac:dyDescent="0.2">
      <c r="A324" s="407">
        <f>'Org structure'!E152</f>
        <v>0</v>
      </c>
      <c r="B324" s="445"/>
      <c r="C324" s="394"/>
      <c r="D324" s="383"/>
      <c r="E324" s="384"/>
      <c r="F324" s="472"/>
      <c r="G324" s="384"/>
      <c r="H324" s="472"/>
      <c r="I324" s="44">
        <f t="shared" si="44"/>
        <v>0</v>
      </c>
      <c r="J324" s="330" t="str">
        <f t="shared" si="45"/>
        <v/>
      </c>
      <c r="K324" s="395"/>
      <c r="L324" s="48"/>
      <c r="M324" s="473"/>
      <c r="N324" s="473"/>
      <c r="O324" s="473"/>
      <c r="P324" s="473"/>
      <c r="Q324" s="473"/>
      <c r="R324" s="473"/>
      <c r="S324" s="473"/>
      <c r="T324" s="473"/>
      <c r="U324" s="473"/>
      <c r="V324" s="473"/>
      <c r="W324" s="473"/>
    </row>
    <row r="325" spans="1:23" ht="11.25" hidden="1" customHeight="1" x14ac:dyDescent="0.2">
      <c r="A325" s="407">
        <f>'Org structure'!E153</f>
        <v>0</v>
      </c>
      <c r="B325" s="445"/>
      <c r="C325" s="394"/>
      <c r="D325" s="383"/>
      <c r="E325" s="384"/>
      <c r="F325" s="472"/>
      <c r="G325" s="384"/>
      <c r="H325" s="472"/>
      <c r="I325" s="44">
        <f t="shared" si="44"/>
        <v>0</v>
      </c>
      <c r="J325" s="330" t="str">
        <f t="shared" si="45"/>
        <v/>
      </c>
      <c r="K325" s="395"/>
      <c r="L325" s="48"/>
      <c r="M325" s="473"/>
      <c r="N325" s="473"/>
      <c r="O325" s="473"/>
      <c r="P325" s="473"/>
      <c r="Q325" s="473"/>
      <c r="R325" s="473"/>
      <c r="S325" s="473"/>
      <c r="T325" s="473"/>
      <c r="U325" s="473"/>
      <c r="V325" s="473"/>
      <c r="W325" s="473"/>
    </row>
    <row r="326" spans="1:23" ht="11.25" hidden="1" customHeight="1" x14ac:dyDescent="0.2">
      <c r="A326" s="407">
        <f>'Org structure'!E154</f>
        <v>0</v>
      </c>
      <c r="B326" s="445"/>
      <c r="C326" s="394"/>
      <c r="D326" s="383"/>
      <c r="E326" s="384"/>
      <c r="F326" s="472"/>
      <c r="G326" s="384"/>
      <c r="H326" s="472"/>
      <c r="I326" s="44">
        <f t="shared" ref="I326:I341" si="51">G326-H326</f>
        <v>0</v>
      </c>
      <c r="J326" s="330" t="str">
        <f t="shared" ref="J326:J341" si="52">IF(I326=0,"",I326/H326)</f>
        <v/>
      </c>
      <c r="K326" s="395"/>
      <c r="L326" s="48"/>
      <c r="M326" s="473"/>
      <c r="N326" s="473"/>
      <c r="O326" s="473"/>
      <c r="P326" s="473"/>
      <c r="Q326" s="473"/>
      <c r="R326" s="473"/>
      <c r="S326" s="473"/>
      <c r="T326" s="473"/>
      <c r="U326" s="473"/>
      <c r="V326" s="473"/>
      <c r="W326" s="473"/>
    </row>
    <row r="327" spans="1:23" ht="11.25" hidden="1" customHeight="1" x14ac:dyDescent="0.2">
      <c r="A327" s="407">
        <f>'Org structure'!E155</f>
        <v>0</v>
      </c>
      <c r="B327" s="445"/>
      <c r="C327" s="394"/>
      <c r="D327" s="383"/>
      <c r="E327" s="384"/>
      <c r="F327" s="472"/>
      <c r="G327" s="384"/>
      <c r="H327" s="472"/>
      <c r="I327" s="44">
        <f t="shared" si="51"/>
        <v>0</v>
      </c>
      <c r="J327" s="330" t="str">
        <f t="shared" si="52"/>
        <v/>
      </c>
      <c r="K327" s="395"/>
      <c r="L327" s="48"/>
      <c r="M327" s="473"/>
      <c r="N327" s="473"/>
      <c r="O327" s="473"/>
      <c r="P327" s="473"/>
      <c r="Q327" s="473"/>
      <c r="R327" s="473"/>
      <c r="S327" s="473"/>
      <c r="T327" s="473"/>
      <c r="U327" s="473"/>
      <c r="V327" s="473"/>
      <c r="W327" s="473"/>
    </row>
    <row r="328" spans="1:23" ht="11.25" hidden="1" customHeight="1" x14ac:dyDescent="0.2">
      <c r="A328" s="466" t="str">
        <f>'Org structure'!A16</f>
        <v>Vote 15 - [NAME OF VOTE 15]</v>
      </c>
      <c r="B328" s="445"/>
      <c r="C328" s="503">
        <f t="shared" ref="C328:K328" si="53">SUM(C329:C338)</f>
        <v>0</v>
      </c>
      <c r="D328" s="444">
        <f t="shared" si="53"/>
        <v>0</v>
      </c>
      <c r="E328" s="441">
        <f t="shared" si="53"/>
        <v>0</v>
      </c>
      <c r="F328" s="443">
        <f t="shared" si="53"/>
        <v>0</v>
      </c>
      <c r="G328" s="441">
        <f t="shared" si="53"/>
        <v>0</v>
      </c>
      <c r="H328" s="443">
        <f t="shared" si="53"/>
        <v>0</v>
      </c>
      <c r="I328" s="44">
        <f t="shared" si="51"/>
        <v>0</v>
      </c>
      <c r="J328" s="330" t="str">
        <f t="shared" si="52"/>
        <v/>
      </c>
      <c r="K328" s="442">
        <f t="shared" si="53"/>
        <v>0</v>
      </c>
      <c r="L328" s="48"/>
      <c r="M328" s="473"/>
      <c r="N328" s="473"/>
      <c r="O328" s="473"/>
      <c r="P328" s="473"/>
      <c r="Q328" s="473"/>
      <c r="R328" s="473"/>
      <c r="S328" s="473"/>
      <c r="T328" s="473"/>
      <c r="U328" s="473"/>
      <c r="V328" s="473"/>
      <c r="W328" s="473"/>
    </row>
    <row r="329" spans="1:23" ht="11.25" hidden="1" customHeight="1" x14ac:dyDescent="0.2">
      <c r="A329" s="407" t="str">
        <f>'Org structure'!E157</f>
        <v>15.1 - [Name of sub-vote]</v>
      </c>
      <c r="B329" s="445"/>
      <c r="C329" s="394"/>
      <c r="D329" s="383"/>
      <c r="E329" s="384"/>
      <c r="F329" s="472"/>
      <c r="G329" s="384"/>
      <c r="H329" s="472"/>
      <c r="I329" s="44">
        <f t="shared" si="51"/>
        <v>0</v>
      </c>
      <c r="J329" s="330" t="str">
        <f t="shared" si="52"/>
        <v/>
      </c>
      <c r="K329" s="395"/>
      <c r="L329" s="48"/>
      <c r="M329" s="473"/>
      <c r="N329" s="473"/>
      <c r="O329" s="473"/>
      <c r="P329" s="473"/>
      <c r="Q329" s="473"/>
      <c r="R329" s="473"/>
      <c r="S329" s="473"/>
      <c r="T329" s="473"/>
      <c r="U329" s="473"/>
      <c r="V329" s="473"/>
      <c r="W329" s="473"/>
    </row>
    <row r="330" spans="1:23" ht="11.25" hidden="1" customHeight="1" x14ac:dyDescent="0.2">
      <c r="A330" s="407">
        <f>'Org structure'!E158</f>
        <v>0</v>
      </c>
      <c r="B330" s="445"/>
      <c r="C330" s="394"/>
      <c r="D330" s="383"/>
      <c r="E330" s="384"/>
      <c r="F330" s="472"/>
      <c r="G330" s="384"/>
      <c r="H330" s="472"/>
      <c r="I330" s="44">
        <f t="shared" si="51"/>
        <v>0</v>
      </c>
      <c r="J330" s="330" t="str">
        <f t="shared" si="52"/>
        <v/>
      </c>
      <c r="K330" s="395"/>
      <c r="L330" s="48"/>
      <c r="M330" s="473"/>
      <c r="N330" s="473"/>
      <c r="O330" s="473"/>
      <c r="P330" s="473"/>
      <c r="Q330" s="473"/>
      <c r="R330" s="473"/>
      <c r="S330" s="473"/>
      <c r="T330" s="473"/>
      <c r="U330" s="473"/>
      <c r="V330" s="473"/>
      <c r="W330" s="473"/>
    </row>
    <row r="331" spans="1:23" ht="11.25" hidden="1" customHeight="1" x14ac:dyDescent="0.2">
      <c r="A331" s="407">
        <f>'Org structure'!E159</f>
        <v>0</v>
      </c>
      <c r="B331" s="445"/>
      <c r="C331" s="394"/>
      <c r="D331" s="383"/>
      <c r="E331" s="384"/>
      <c r="F331" s="472"/>
      <c r="G331" s="384"/>
      <c r="H331" s="472"/>
      <c r="I331" s="44">
        <f t="shared" si="51"/>
        <v>0</v>
      </c>
      <c r="J331" s="330" t="str">
        <f t="shared" si="52"/>
        <v/>
      </c>
      <c r="K331" s="395"/>
      <c r="L331" s="48"/>
      <c r="M331" s="473"/>
      <c r="N331" s="473"/>
      <c r="O331" s="473"/>
      <c r="P331" s="473"/>
      <c r="Q331" s="473"/>
      <c r="R331" s="473"/>
      <c r="S331" s="473"/>
      <c r="T331" s="473"/>
      <c r="U331" s="473"/>
      <c r="V331" s="473"/>
      <c r="W331" s="473"/>
    </row>
    <row r="332" spans="1:23" ht="11.25" hidden="1" customHeight="1" x14ac:dyDescent="0.2">
      <c r="A332" s="407">
        <f>'Org structure'!E160</f>
        <v>0</v>
      </c>
      <c r="B332" s="445"/>
      <c r="C332" s="394"/>
      <c r="D332" s="383"/>
      <c r="E332" s="384"/>
      <c r="F332" s="472"/>
      <c r="G332" s="384"/>
      <c r="H332" s="472"/>
      <c r="I332" s="44">
        <f t="shared" si="51"/>
        <v>0</v>
      </c>
      <c r="J332" s="330" t="str">
        <f t="shared" si="52"/>
        <v/>
      </c>
      <c r="K332" s="395"/>
      <c r="L332" s="48"/>
      <c r="M332" s="473"/>
      <c r="N332" s="473"/>
      <c r="O332" s="473"/>
      <c r="P332" s="473"/>
      <c r="Q332" s="473"/>
      <c r="R332" s="473"/>
      <c r="S332" s="473"/>
      <c r="T332" s="473"/>
      <c r="U332" s="473"/>
      <c r="V332" s="473"/>
      <c r="W332" s="473"/>
    </row>
    <row r="333" spans="1:23" ht="11.25" hidden="1" customHeight="1" x14ac:dyDescent="0.2">
      <c r="A333" s="407">
        <f>'Org structure'!E161</f>
        <v>0</v>
      </c>
      <c r="B333" s="445"/>
      <c r="C333" s="394"/>
      <c r="D333" s="383"/>
      <c r="E333" s="384"/>
      <c r="F333" s="472"/>
      <c r="G333" s="384"/>
      <c r="H333" s="472"/>
      <c r="I333" s="44">
        <f t="shared" si="51"/>
        <v>0</v>
      </c>
      <c r="J333" s="330" t="str">
        <f t="shared" si="52"/>
        <v/>
      </c>
      <c r="K333" s="395"/>
      <c r="L333" s="48"/>
      <c r="M333" s="473"/>
      <c r="N333" s="473"/>
      <c r="O333" s="473"/>
      <c r="P333" s="473"/>
      <c r="Q333" s="473"/>
      <c r="R333" s="473"/>
      <c r="S333" s="473"/>
      <c r="T333" s="473"/>
      <c r="U333" s="473"/>
      <c r="V333" s="473"/>
      <c r="W333" s="473"/>
    </row>
    <row r="334" spans="1:23" ht="11.25" hidden="1" customHeight="1" x14ac:dyDescent="0.2">
      <c r="A334" s="407">
        <f>'Org structure'!E162</f>
        <v>0</v>
      </c>
      <c r="B334" s="445"/>
      <c r="C334" s="394"/>
      <c r="D334" s="383"/>
      <c r="E334" s="384"/>
      <c r="F334" s="472"/>
      <c r="G334" s="384"/>
      <c r="H334" s="472"/>
      <c r="I334" s="44">
        <f t="shared" si="51"/>
        <v>0</v>
      </c>
      <c r="J334" s="330" t="str">
        <f t="shared" si="52"/>
        <v/>
      </c>
      <c r="K334" s="395"/>
      <c r="L334" s="48"/>
      <c r="M334" s="473"/>
      <c r="N334" s="473"/>
      <c r="O334" s="473"/>
      <c r="P334" s="473"/>
      <c r="Q334" s="473"/>
      <c r="R334" s="473"/>
      <c r="S334" s="473"/>
      <c r="T334" s="473"/>
      <c r="U334" s="473"/>
      <c r="V334" s="473"/>
      <c r="W334" s="473"/>
    </row>
    <row r="335" spans="1:23" ht="11.25" hidden="1" customHeight="1" x14ac:dyDescent="0.2">
      <c r="A335" s="407">
        <f>'Org structure'!E163</f>
        <v>0</v>
      </c>
      <c r="B335" s="445"/>
      <c r="C335" s="394"/>
      <c r="D335" s="383"/>
      <c r="E335" s="384"/>
      <c r="F335" s="472"/>
      <c r="G335" s="384"/>
      <c r="H335" s="472"/>
      <c r="I335" s="44">
        <f t="shared" si="51"/>
        <v>0</v>
      </c>
      <c r="J335" s="330" t="str">
        <f t="shared" si="52"/>
        <v/>
      </c>
      <c r="K335" s="395"/>
      <c r="L335" s="48"/>
      <c r="M335" s="473"/>
      <c r="N335" s="473"/>
      <c r="O335" s="473"/>
      <c r="P335" s="473"/>
      <c r="Q335" s="473"/>
      <c r="R335" s="473"/>
      <c r="S335" s="473"/>
      <c r="T335" s="473"/>
      <c r="U335" s="473"/>
      <c r="V335" s="473"/>
      <c r="W335" s="473"/>
    </row>
    <row r="336" spans="1:23" ht="11.25" hidden="1" customHeight="1" x14ac:dyDescent="0.2">
      <c r="A336" s="407">
        <f>'Org structure'!E164</f>
        <v>0</v>
      </c>
      <c r="B336" s="445"/>
      <c r="C336" s="394"/>
      <c r="D336" s="383"/>
      <c r="E336" s="384"/>
      <c r="F336" s="472"/>
      <c r="G336" s="384"/>
      <c r="H336" s="472"/>
      <c r="I336" s="44">
        <f t="shared" si="51"/>
        <v>0</v>
      </c>
      <c r="J336" s="330" t="str">
        <f t="shared" si="52"/>
        <v/>
      </c>
      <c r="K336" s="395"/>
      <c r="L336" s="48"/>
      <c r="M336" s="473"/>
      <c r="N336" s="473"/>
      <c r="O336" s="473"/>
      <c r="P336" s="473"/>
      <c r="Q336" s="473"/>
      <c r="R336" s="473"/>
      <c r="S336" s="473"/>
      <c r="T336" s="473"/>
      <c r="U336" s="473"/>
      <c r="V336" s="473"/>
      <c r="W336" s="473"/>
    </row>
    <row r="337" spans="1:24" ht="11.25" hidden="1" customHeight="1" x14ac:dyDescent="0.2">
      <c r="A337" s="407">
        <f>'Org structure'!E165</f>
        <v>0</v>
      </c>
      <c r="B337" s="445"/>
      <c r="C337" s="394"/>
      <c r="D337" s="383"/>
      <c r="E337" s="384"/>
      <c r="F337" s="472"/>
      <c r="G337" s="384"/>
      <c r="H337" s="472"/>
      <c r="I337" s="44">
        <f t="shared" si="51"/>
        <v>0</v>
      </c>
      <c r="J337" s="330" t="str">
        <f t="shared" si="52"/>
        <v/>
      </c>
      <c r="K337" s="395"/>
      <c r="L337" s="48"/>
      <c r="M337" s="473"/>
      <c r="N337" s="473"/>
      <c r="O337" s="473"/>
      <c r="P337" s="473"/>
      <c r="Q337" s="473"/>
      <c r="R337" s="473"/>
      <c r="S337" s="473"/>
      <c r="T337" s="473"/>
      <c r="U337" s="473"/>
      <c r="V337" s="473"/>
      <c r="W337" s="473"/>
    </row>
    <row r="338" spans="1:24" ht="11.25" hidden="1" customHeight="1" x14ac:dyDescent="0.2">
      <c r="A338" s="407">
        <f>'Org structure'!E166</f>
        <v>0</v>
      </c>
      <c r="B338" s="445"/>
      <c r="C338" s="394"/>
      <c r="D338" s="383"/>
      <c r="E338" s="384"/>
      <c r="F338" s="472"/>
      <c r="G338" s="384"/>
      <c r="H338" s="472"/>
      <c r="I338" s="44">
        <f t="shared" si="51"/>
        <v>0</v>
      </c>
      <c r="J338" s="330" t="str">
        <f t="shared" si="52"/>
        <v/>
      </c>
      <c r="K338" s="395"/>
      <c r="L338" s="452">
        <f t="shared" ref="L338:W338" si="54">SUM(L173:L249)</f>
        <v>0</v>
      </c>
      <c r="M338" s="453">
        <f t="shared" si="54"/>
        <v>0</v>
      </c>
      <c r="N338" s="453">
        <f t="shared" si="54"/>
        <v>0</v>
      </c>
      <c r="O338" s="453">
        <f t="shared" si="54"/>
        <v>0</v>
      </c>
      <c r="P338" s="453">
        <f t="shared" si="54"/>
        <v>0</v>
      </c>
      <c r="Q338" s="453">
        <f t="shared" si="54"/>
        <v>0</v>
      </c>
      <c r="R338" s="453">
        <f t="shared" si="54"/>
        <v>0</v>
      </c>
      <c r="S338" s="453">
        <f t="shared" si="54"/>
        <v>0</v>
      </c>
      <c r="T338" s="453">
        <f t="shared" si="54"/>
        <v>0</v>
      </c>
      <c r="U338" s="453">
        <f t="shared" si="54"/>
        <v>0</v>
      </c>
      <c r="V338" s="453">
        <f t="shared" si="54"/>
        <v>0</v>
      </c>
      <c r="W338" s="453">
        <f t="shared" si="54"/>
        <v>0</v>
      </c>
    </row>
    <row r="339" spans="1:24" ht="12.75" customHeight="1" x14ac:dyDescent="0.2">
      <c r="A339" s="447" t="s">
        <v>634</v>
      </c>
      <c r="B339" s="445">
        <v>2</v>
      </c>
      <c r="C339" s="508">
        <f t="shared" ref="C339:H339" si="55">C174+C185+C196+C207+C218+C229+C240+C251+C262++C273+C284+C295+C306+C317+C328</f>
        <v>0</v>
      </c>
      <c r="D339" s="475">
        <f t="shared" si="55"/>
        <v>5516477469.544631</v>
      </c>
      <c r="E339" s="430">
        <f t="shared" si="55"/>
        <v>0</v>
      </c>
      <c r="F339" s="474">
        <f t="shared" si="55"/>
        <v>738677409.70999992</v>
      </c>
      <c r="G339" s="430">
        <f t="shared" si="55"/>
        <v>1458301309.0999994</v>
      </c>
      <c r="H339" s="474">
        <f t="shared" si="55"/>
        <v>1379119367.3861578</v>
      </c>
      <c r="I339" s="430">
        <f t="shared" si="51"/>
        <v>79181941.713841677</v>
      </c>
      <c r="J339" s="430">
        <f t="shared" si="52"/>
        <v>5.7414857325885471E-2</v>
      </c>
      <c r="K339" s="513">
        <f>K174+K185+K196+K207+K218+K229+K240+K251+K262++K273+K284+K295+K306+K317+K328</f>
        <v>5516477469.544631</v>
      </c>
      <c r="L339" s="476"/>
      <c r="M339" s="52"/>
      <c r="N339" s="52"/>
      <c r="O339" s="52"/>
      <c r="P339" s="52"/>
      <c r="Q339" s="52"/>
      <c r="R339" s="52"/>
      <c r="S339" s="52"/>
      <c r="T339" s="52"/>
      <c r="U339" s="52"/>
      <c r="V339" s="52"/>
      <c r="W339" s="52"/>
    </row>
    <row r="340" spans="1:24" ht="4.5" customHeight="1" thickBot="1" x14ac:dyDescent="0.25">
      <c r="A340" s="885"/>
      <c r="B340" s="445"/>
      <c r="C340" s="110"/>
      <c r="D340" s="51"/>
      <c r="E340" s="50"/>
      <c r="F340" s="49"/>
      <c r="G340" s="50"/>
      <c r="H340" s="49"/>
      <c r="I340" s="50">
        <f t="shared" si="51"/>
        <v>0</v>
      </c>
      <c r="J340" s="50" t="str">
        <f t="shared" si="52"/>
        <v/>
      </c>
      <c r="K340" s="194"/>
      <c r="L340" s="480">
        <f t="shared" ref="L340:W340" si="56">L170-L338</f>
        <v>0</v>
      </c>
      <c r="M340" s="481">
        <f t="shared" si="56"/>
        <v>0</v>
      </c>
      <c r="N340" s="481">
        <f t="shared" si="56"/>
        <v>0</v>
      </c>
      <c r="O340" s="481">
        <f t="shared" si="56"/>
        <v>0</v>
      </c>
      <c r="P340" s="481">
        <f t="shared" si="56"/>
        <v>0</v>
      </c>
      <c r="Q340" s="481">
        <f t="shared" si="56"/>
        <v>0</v>
      </c>
      <c r="R340" s="481">
        <f t="shared" si="56"/>
        <v>0</v>
      </c>
      <c r="S340" s="481">
        <f t="shared" si="56"/>
        <v>0</v>
      </c>
      <c r="T340" s="481">
        <f t="shared" si="56"/>
        <v>0</v>
      </c>
      <c r="U340" s="481">
        <f t="shared" si="56"/>
        <v>0</v>
      </c>
      <c r="V340" s="481">
        <f t="shared" si="56"/>
        <v>0</v>
      </c>
      <c r="W340" s="481">
        <f t="shared" si="56"/>
        <v>0</v>
      </c>
    </row>
    <row r="341" spans="1:24" s="486" customFormat="1" ht="11.25" customHeight="1" thickTop="1" x14ac:dyDescent="0.2">
      <c r="A341" s="886" t="str">
        <f>result</f>
        <v>Surplus/ (Deficit) for the year</v>
      </c>
      <c r="B341" s="477">
        <v>2</v>
      </c>
      <c r="C341" s="509">
        <f t="shared" ref="C341:H341" si="57">C171-C339</f>
        <v>0</v>
      </c>
      <c r="D341" s="512">
        <f t="shared" si="57"/>
        <v>927224369.32743359</v>
      </c>
      <c r="E341" s="55">
        <f t="shared" si="57"/>
        <v>0</v>
      </c>
      <c r="F341" s="479">
        <f t="shared" si="57"/>
        <v>-265252073.86000001</v>
      </c>
      <c r="G341" s="55">
        <f t="shared" si="57"/>
        <v>145341528.27000046</v>
      </c>
      <c r="H341" s="479">
        <f t="shared" si="57"/>
        <v>231806092.3318584</v>
      </c>
      <c r="I341" s="55">
        <f t="shared" si="51"/>
        <v>-86464564.061857939</v>
      </c>
      <c r="J341" s="55">
        <f t="shared" si="52"/>
        <v>-0.37300384641346473</v>
      </c>
      <c r="K341" s="235">
        <f>K171-K339</f>
        <v>927224369.32743359</v>
      </c>
    </row>
    <row r="342" spans="1:24" s="486" customFormat="1" ht="11.25" customHeight="1" x14ac:dyDescent="0.2">
      <c r="A342" s="482" t="str">
        <f>head27a</f>
        <v>References</v>
      </c>
      <c r="B342" s="483"/>
      <c r="C342" s="484"/>
      <c r="D342" s="485"/>
      <c r="E342" s="485"/>
      <c r="F342" s="485"/>
      <c r="G342" s="485"/>
      <c r="H342" s="485"/>
      <c r="I342" s="485"/>
      <c r="J342" s="485"/>
      <c r="K342" s="485"/>
    </row>
    <row r="343" spans="1:24" s="486" customFormat="1" ht="11.25" customHeight="1" x14ac:dyDescent="0.2">
      <c r="A343" s="487" t="s">
        <v>121</v>
      </c>
      <c r="B343" s="483"/>
      <c r="C343" s="488"/>
      <c r="D343" s="488"/>
      <c r="E343" s="489"/>
      <c r="F343" s="489"/>
      <c r="G343" s="489"/>
      <c r="H343" s="489"/>
      <c r="I343" s="489"/>
      <c r="J343" s="489"/>
      <c r="K343" s="489"/>
    </row>
    <row r="344" spans="1:24" s="486" customFormat="1" ht="11.25" customHeight="1" x14ac:dyDescent="0.2">
      <c r="A344" s="490" t="s">
        <v>122</v>
      </c>
      <c r="B344" s="483"/>
      <c r="C344" s="488"/>
      <c r="D344" s="488"/>
      <c r="E344" s="489"/>
      <c r="F344" s="489"/>
      <c r="G344" s="489"/>
      <c r="H344" s="489"/>
      <c r="I344" s="489"/>
      <c r="J344" s="489"/>
      <c r="K344" s="489"/>
    </row>
    <row r="345" spans="1:24" ht="11.25" customHeight="1" x14ac:dyDescent="0.2">
      <c r="A345" s="490" t="s">
        <v>123</v>
      </c>
      <c r="B345" s="491"/>
      <c r="C345" s="492"/>
      <c r="D345" s="492"/>
      <c r="E345" s="493"/>
      <c r="F345" s="493"/>
      <c r="G345" s="493"/>
      <c r="H345" s="493"/>
      <c r="I345" s="493"/>
      <c r="J345" s="493"/>
      <c r="K345" s="493"/>
    </row>
    <row r="346" spans="1:24" ht="11.25" customHeight="1" x14ac:dyDescent="0.2">
      <c r="A346" s="67"/>
    </row>
    <row r="347" spans="1:24" ht="11.25" customHeight="1" x14ac:dyDescent="0.2">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
      <c r="A349" s="67"/>
    </row>
    <row r="350" spans="1:24" ht="11.25" customHeight="1" x14ac:dyDescent="0.2">
      <c r="A350" s="67"/>
    </row>
    <row r="351" spans="1:24" ht="11.25" customHeight="1" x14ac:dyDescent="0.2">
      <c r="A351" s="67"/>
    </row>
    <row r="352" spans="1:24"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sqref="A1:K48"/>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"&amp;S71B&amp; " - "&amp;date</f>
        <v>KZN225 Msunduzi - Table C4 Consolidated Monthly Budget Statement - Financial Performance (revenue and expenditure)  - Q1 First Quarter</v>
      </c>
      <c r="B1" s="1053"/>
      <c r="C1" s="1053"/>
      <c r="D1" s="1053"/>
      <c r="E1" s="1053"/>
      <c r="F1" s="1053"/>
      <c r="G1" s="1053"/>
      <c r="H1" s="1053"/>
      <c r="I1" s="1053"/>
      <c r="J1" s="1053"/>
      <c r="K1" s="1053"/>
    </row>
    <row r="2" spans="1:11" x14ac:dyDescent="0.2">
      <c r="A2" s="1042" t="str">
        <f>desc</f>
        <v>Description</v>
      </c>
      <c r="B2" s="1051" t="str">
        <f>head27</f>
        <v>Ref</v>
      </c>
      <c r="C2" s="158" t="str">
        <f>Head1</f>
        <v>2019/20</v>
      </c>
      <c r="D2" s="1037" t="str">
        <f>Head2</f>
        <v>Budget Year 2020/21</v>
      </c>
      <c r="E2" s="1038"/>
      <c r="F2" s="1038"/>
      <c r="G2" s="1038"/>
      <c r="H2" s="1038"/>
      <c r="I2" s="1038"/>
      <c r="J2" s="1038"/>
      <c r="K2" s="1039"/>
    </row>
    <row r="3" spans="1:11" ht="20.399999999999999" x14ac:dyDescent="0.2">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667</v>
      </c>
      <c r="B4" s="418"/>
      <c r="C4" s="187"/>
      <c r="D4" s="240"/>
      <c r="E4" s="241"/>
      <c r="F4" s="82"/>
      <c r="G4" s="82"/>
      <c r="H4" s="82"/>
      <c r="I4" s="82"/>
      <c r="J4" s="242" t="s">
        <v>575</v>
      </c>
      <c r="K4" s="223"/>
    </row>
    <row r="5" spans="1:11" ht="12.75" customHeight="1" x14ac:dyDescent="0.2">
      <c r="A5" s="182" t="s">
        <v>486</v>
      </c>
      <c r="B5" s="519"/>
      <c r="C5" s="170"/>
      <c r="D5" s="37"/>
      <c r="E5" s="36"/>
      <c r="F5" s="36"/>
      <c r="G5" s="36"/>
      <c r="H5" s="36"/>
      <c r="I5" s="36"/>
      <c r="J5" s="36"/>
      <c r="K5" s="226"/>
    </row>
    <row r="6" spans="1:11" ht="11.25" customHeight="1" x14ac:dyDescent="0.2">
      <c r="A6" s="39" t="s">
        <v>931</v>
      </c>
      <c r="B6" s="419"/>
      <c r="C6" s="748"/>
      <c r="D6" s="745">
        <v>1269794594.0217998</v>
      </c>
      <c r="E6" s="733"/>
      <c r="F6" s="733">
        <v>103982579.58999999</v>
      </c>
      <c r="G6" s="733">
        <v>308020926.50000006</v>
      </c>
      <c r="H6" s="733">
        <f>D6/12*3</f>
        <v>317448648.50544995</v>
      </c>
      <c r="I6" s="44">
        <f t="shared" ref="I6:I22" si="0">G6-H6</f>
        <v>-9427722.0054498911</v>
      </c>
      <c r="J6" s="330">
        <f t="shared" ref="J6:J22" si="1">IF(I6=0,"",I6/H6)</f>
        <v>-2.9698415948014457E-2</v>
      </c>
      <c r="K6" s="735">
        <f>D6</f>
        <v>1269794594.0217998</v>
      </c>
    </row>
    <row r="7" spans="1:11" ht="11.25" customHeight="1" x14ac:dyDescent="0.2">
      <c r="A7" s="39" t="s">
        <v>834</v>
      </c>
      <c r="B7" s="419"/>
      <c r="C7" s="748"/>
      <c r="D7" s="745">
        <v>2584775677.1378117</v>
      </c>
      <c r="E7" s="733"/>
      <c r="F7" s="733">
        <v>204806141.56999999</v>
      </c>
      <c r="G7" s="733">
        <v>631542881.49000013</v>
      </c>
      <c r="H7" s="733">
        <f>D7/12*3</f>
        <v>646193919.28445292</v>
      </c>
      <c r="I7" s="44">
        <f t="shared" si="0"/>
        <v>-14651037.794452786</v>
      </c>
      <c r="J7" s="330">
        <f t="shared" si="1"/>
        <v>-2.2672819036545958E-2</v>
      </c>
      <c r="K7" s="735">
        <f>D7</f>
        <v>2584775677.1378117</v>
      </c>
    </row>
    <row r="8" spans="1:11" ht="11.25" customHeight="1" x14ac:dyDescent="0.2">
      <c r="A8" s="86" t="s">
        <v>835</v>
      </c>
      <c r="B8" s="421"/>
      <c r="C8" s="748"/>
      <c r="D8" s="745">
        <v>722633094.82360029</v>
      </c>
      <c r="E8" s="733"/>
      <c r="F8" s="733">
        <v>66281450.760000005</v>
      </c>
      <c r="G8" s="733">
        <v>192611307.66</v>
      </c>
      <c r="H8" s="733">
        <f>D8/12*3</f>
        <v>180658273.70590007</v>
      </c>
      <c r="I8" s="44">
        <f t="shared" si="0"/>
        <v>11953033.954099923</v>
      </c>
      <c r="J8" s="330">
        <f t="shared" si="1"/>
        <v>6.6163778214546026E-2</v>
      </c>
      <c r="K8" s="735">
        <f>D8</f>
        <v>722633094.82360029</v>
      </c>
    </row>
    <row r="9" spans="1:11" ht="11.25" customHeight="1" x14ac:dyDescent="0.2">
      <c r="A9" s="86" t="s">
        <v>836</v>
      </c>
      <c r="B9" s="421"/>
      <c r="C9" s="748"/>
      <c r="D9" s="745">
        <v>152021749.3608</v>
      </c>
      <c r="E9" s="733"/>
      <c r="F9" s="733">
        <v>12358093.620000001</v>
      </c>
      <c r="G9" s="733">
        <v>36705609.660000004</v>
      </c>
      <c r="H9" s="733">
        <f>D9/12*3</f>
        <v>38005437.3402</v>
      </c>
      <c r="I9" s="44">
        <f t="shared" si="0"/>
        <v>-1299827.6801999956</v>
      </c>
      <c r="J9" s="330">
        <f t="shared" si="1"/>
        <v>-3.420109782094552E-2</v>
      </c>
      <c r="K9" s="735">
        <f>D9</f>
        <v>152021749.3608</v>
      </c>
    </row>
    <row r="10" spans="1:11" ht="11.25" customHeight="1" x14ac:dyDescent="0.2">
      <c r="A10" s="517" t="s">
        <v>72</v>
      </c>
      <c r="B10" s="421"/>
      <c r="C10" s="748"/>
      <c r="D10" s="745">
        <v>116333080.9707</v>
      </c>
      <c r="E10" s="733"/>
      <c r="F10" s="733">
        <v>8936329.5700000003</v>
      </c>
      <c r="G10" s="733">
        <v>26747978.370000005</v>
      </c>
      <c r="H10" s="733">
        <f>D10/12*3</f>
        <v>29083270.242674999</v>
      </c>
      <c r="I10" s="44">
        <f t="shared" si="0"/>
        <v>-2335291.8726749942</v>
      </c>
      <c r="J10" s="330">
        <f t="shared" si="1"/>
        <v>-8.0296742876195912E-2</v>
      </c>
      <c r="K10" s="735">
        <f>D10</f>
        <v>116333080.9707</v>
      </c>
    </row>
    <row r="11" spans="1:11" ht="0.9" customHeight="1" x14ac:dyDescent="0.2">
      <c r="A11" s="86"/>
      <c r="B11" s="421"/>
      <c r="C11" s="648"/>
      <c r="D11" s="649"/>
      <c r="E11" s="408"/>
      <c r="F11" s="408"/>
      <c r="G11" s="408"/>
      <c r="H11" s="408"/>
      <c r="I11" s="408"/>
      <c r="J11" s="947"/>
      <c r="K11" s="642"/>
    </row>
    <row r="12" spans="1:11" ht="11.25" customHeight="1" x14ac:dyDescent="0.2">
      <c r="A12" s="86" t="s">
        <v>963</v>
      </c>
      <c r="B12" s="421"/>
      <c r="C12" s="748"/>
      <c r="D12" s="745">
        <v>29078797.626999993</v>
      </c>
      <c r="E12" s="733"/>
      <c r="F12" s="733">
        <v>1192664.9399999997</v>
      </c>
      <c r="G12" s="733">
        <v>-2305051.2199999979</v>
      </c>
      <c r="H12" s="733">
        <f>D12/12*3</f>
        <v>7269699.4067499982</v>
      </c>
      <c r="I12" s="44">
        <f t="shared" si="0"/>
        <v>-9574750.6267499961</v>
      </c>
      <c r="J12" s="330">
        <f t="shared" si="1"/>
        <v>-1.3170765517291858</v>
      </c>
      <c r="K12" s="735">
        <f t="shared" ref="K12:K20" si="2">D12</f>
        <v>29078797.626999993</v>
      </c>
    </row>
    <row r="13" spans="1:11" ht="11.25" customHeight="1" x14ac:dyDescent="0.2">
      <c r="A13" s="86" t="s">
        <v>838</v>
      </c>
      <c r="B13" s="421"/>
      <c r="C13" s="748"/>
      <c r="D13" s="745">
        <v>15260422.42725</v>
      </c>
      <c r="E13" s="733"/>
      <c r="F13" s="733">
        <v>1017012.24</v>
      </c>
      <c r="G13" s="733">
        <v>1897637.6800000004</v>
      </c>
      <c r="H13" s="733">
        <f>D13/12*3</f>
        <v>3815105.6068125004</v>
      </c>
      <c r="I13" s="44">
        <f t="shared" si="0"/>
        <v>-1917467.9268125</v>
      </c>
      <c r="J13" s="330">
        <f t="shared" si="1"/>
        <v>-0.50259891191178163</v>
      </c>
      <c r="K13" s="735">
        <f t="shared" si="2"/>
        <v>15260422.42725</v>
      </c>
    </row>
    <row r="14" spans="1:11" ht="11.25" customHeight="1" x14ac:dyDescent="0.2">
      <c r="A14" s="86" t="s">
        <v>839</v>
      </c>
      <c r="B14" s="421"/>
      <c r="C14" s="748"/>
      <c r="D14" s="745">
        <v>202457793.88559997</v>
      </c>
      <c r="E14" s="733"/>
      <c r="F14" s="733">
        <v>15298342.599999996</v>
      </c>
      <c r="G14" s="733">
        <v>45443166.939999998</v>
      </c>
      <c r="H14" s="733">
        <f>D14/12*3</f>
        <v>50614448.471399993</v>
      </c>
      <c r="I14" s="44">
        <f t="shared" si="0"/>
        <v>-5171281.5313999951</v>
      </c>
      <c r="J14" s="330">
        <f t="shared" si="1"/>
        <v>-0.10217006581277004</v>
      </c>
      <c r="K14" s="735">
        <f t="shared" si="2"/>
        <v>202457793.88559997</v>
      </c>
    </row>
    <row r="15" spans="1:11" ht="11.25" customHeight="1" x14ac:dyDescent="0.2">
      <c r="A15" s="86" t="s">
        <v>921</v>
      </c>
      <c r="B15" s="421"/>
      <c r="C15" s="748"/>
      <c r="D15" s="745"/>
      <c r="E15" s="733"/>
      <c r="F15" s="733"/>
      <c r="G15" s="733"/>
      <c r="H15" s="733"/>
      <c r="I15" s="44">
        <f t="shared" si="0"/>
        <v>0</v>
      </c>
      <c r="J15" s="330" t="str">
        <f t="shared" si="1"/>
        <v/>
      </c>
      <c r="K15" s="735"/>
    </row>
    <row r="16" spans="1:11" ht="11.25" customHeight="1" x14ac:dyDescent="0.2">
      <c r="A16" s="86" t="s">
        <v>1117</v>
      </c>
      <c r="B16" s="421"/>
      <c r="C16" s="748"/>
      <c r="D16" s="745">
        <v>1798551.4436999999</v>
      </c>
      <c r="E16" s="733"/>
      <c r="F16" s="733">
        <v>14522.31</v>
      </c>
      <c r="G16" s="733">
        <v>-223190.75999999998</v>
      </c>
      <c r="H16" s="733">
        <f>D16/12*3</f>
        <v>449637.86092499999</v>
      </c>
      <c r="I16" s="44">
        <f t="shared" si="0"/>
        <v>-672828.62092499994</v>
      </c>
      <c r="J16" s="330">
        <f t="shared" si="1"/>
        <v>-1.496378929347385</v>
      </c>
      <c r="K16" s="735">
        <f t="shared" si="2"/>
        <v>1798551.4436999999</v>
      </c>
    </row>
    <row r="17" spans="1:11" ht="11.25" customHeight="1" x14ac:dyDescent="0.2">
      <c r="A17" s="86" t="s">
        <v>840</v>
      </c>
      <c r="B17" s="421"/>
      <c r="C17" s="748"/>
      <c r="D17" s="745">
        <v>1119569.0055</v>
      </c>
      <c r="E17" s="733"/>
      <c r="F17" s="733">
        <v>51994.94</v>
      </c>
      <c r="G17" s="733">
        <v>172828.01</v>
      </c>
      <c r="H17" s="733">
        <f>D17/12*3</f>
        <v>279892.25137499999</v>
      </c>
      <c r="I17" s="44">
        <f t="shared" si="0"/>
        <v>-107064.24137499998</v>
      </c>
      <c r="J17" s="330">
        <f t="shared" si="1"/>
        <v>-0.38251949044332484</v>
      </c>
      <c r="K17" s="735">
        <f t="shared" si="2"/>
        <v>1119569.0055</v>
      </c>
    </row>
    <row r="18" spans="1:11" ht="11.25" customHeight="1" x14ac:dyDescent="0.2">
      <c r="A18" s="86" t="s">
        <v>580</v>
      </c>
      <c r="B18" s="421"/>
      <c r="C18" s="748"/>
      <c r="D18" s="745">
        <v>601902.02599999995</v>
      </c>
      <c r="E18" s="733"/>
      <c r="F18" s="733"/>
      <c r="G18" s="733"/>
      <c r="H18" s="733">
        <f>D18/12*3</f>
        <v>150475.50649999999</v>
      </c>
      <c r="I18" s="44">
        <f t="shared" si="0"/>
        <v>-150475.50649999999</v>
      </c>
      <c r="J18" s="330">
        <f t="shared" si="1"/>
        <v>-1</v>
      </c>
      <c r="K18" s="735">
        <f t="shared" si="2"/>
        <v>601902.02599999995</v>
      </c>
    </row>
    <row r="19" spans="1:11" ht="11.25" customHeight="1" x14ac:dyDescent="0.2">
      <c r="A19" s="518" t="s">
        <v>1118</v>
      </c>
      <c r="B19" s="421"/>
      <c r="C19" s="748"/>
      <c r="D19" s="745">
        <v>675483240</v>
      </c>
      <c r="E19" s="733"/>
      <c r="F19" s="733">
        <v>6547812.129999999</v>
      </c>
      <c r="G19" s="733">
        <v>280889803.22000003</v>
      </c>
      <c r="H19" s="733">
        <f>D19/12*3</f>
        <v>168870810</v>
      </c>
      <c r="I19" s="44">
        <f t="shared" si="0"/>
        <v>112018993.22000003</v>
      </c>
      <c r="J19" s="330">
        <f t="shared" si="1"/>
        <v>0.6633413626665261</v>
      </c>
      <c r="K19" s="735">
        <f t="shared" si="2"/>
        <v>675483240</v>
      </c>
    </row>
    <row r="20" spans="1:11" ht="11.25" customHeight="1" x14ac:dyDescent="0.2">
      <c r="A20" s="86" t="s">
        <v>453</v>
      </c>
      <c r="B20" s="421"/>
      <c r="C20" s="748"/>
      <c r="D20" s="745">
        <v>146451785.14229998</v>
      </c>
      <c r="E20" s="733"/>
      <c r="F20" s="733">
        <v>5389548.5700000003</v>
      </c>
      <c r="G20" s="733">
        <v>6441927.9999999991</v>
      </c>
      <c r="H20" s="733">
        <f>D20/12*3</f>
        <v>36612946.285574995</v>
      </c>
      <c r="I20" s="44">
        <f t="shared" si="0"/>
        <v>-30171018.285574995</v>
      </c>
      <c r="J20" s="330">
        <f t="shared" si="1"/>
        <v>-0.82405327476914814</v>
      </c>
      <c r="K20" s="735">
        <f t="shared" si="2"/>
        <v>146451785.14229998</v>
      </c>
    </row>
    <row r="21" spans="1:11" ht="11.25" customHeight="1" x14ac:dyDescent="0.2">
      <c r="A21" s="990" t="s">
        <v>1369</v>
      </c>
      <c r="B21" s="419"/>
      <c r="C21" s="748"/>
      <c r="D21" s="745"/>
      <c r="E21" s="733"/>
      <c r="F21" s="733"/>
      <c r="G21" s="733"/>
      <c r="H21" s="733"/>
      <c r="I21" s="44">
        <f t="shared" si="0"/>
        <v>0</v>
      </c>
      <c r="J21" s="330" t="str">
        <f t="shared" si="1"/>
        <v/>
      </c>
      <c r="K21" s="735"/>
    </row>
    <row r="22" spans="1:11" ht="24.75" customHeight="1" x14ac:dyDescent="0.2">
      <c r="A22" s="586" t="s">
        <v>134</v>
      </c>
      <c r="B22" s="587"/>
      <c r="C22" s="522">
        <f t="shared" ref="C22:H22" si="3">SUM(C6:C10)+SUM(C12:C21)</f>
        <v>0</v>
      </c>
      <c r="D22" s="523">
        <f t="shared" si="3"/>
        <v>5917810257.8720617</v>
      </c>
      <c r="E22" s="524">
        <f t="shared" si="3"/>
        <v>0</v>
      </c>
      <c r="F22" s="524">
        <f t="shared" si="3"/>
        <v>425876492.83999997</v>
      </c>
      <c r="G22" s="524">
        <f t="shared" si="3"/>
        <v>1527945825.5500002</v>
      </c>
      <c r="H22" s="524">
        <f t="shared" si="3"/>
        <v>1479452564.4680154</v>
      </c>
      <c r="I22" s="524">
        <f t="shared" si="0"/>
        <v>48493261.081984758</v>
      </c>
      <c r="J22" s="525">
        <f t="shared" si="1"/>
        <v>3.2777841105991842E-2</v>
      </c>
      <c r="K22" s="526">
        <f>SUM(K6:K10)+SUM(K12:K21)</f>
        <v>5917810257.8720617</v>
      </c>
    </row>
    <row r="23" spans="1:11" ht="5.0999999999999996" customHeight="1" x14ac:dyDescent="0.2">
      <c r="A23" s="42"/>
      <c r="B23" s="419"/>
      <c r="C23" s="134"/>
      <c r="D23" s="46"/>
      <c r="E23" s="44"/>
      <c r="F23" s="44"/>
      <c r="G23" s="44"/>
      <c r="H23" s="44"/>
      <c r="I23" s="44"/>
      <c r="J23" s="44"/>
      <c r="K23" s="144"/>
    </row>
    <row r="24" spans="1:11" ht="12.75" customHeight="1" x14ac:dyDescent="0.2">
      <c r="A24" s="35" t="s">
        <v>487</v>
      </c>
      <c r="B24" s="420"/>
      <c r="C24" s="134"/>
      <c r="D24" s="46"/>
      <c r="E24" s="44"/>
      <c r="F24" s="44"/>
      <c r="G24" s="44"/>
      <c r="H24" s="44"/>
      <c r="I24" s="44"/>
      <c r="J24" s="44"/>
      <c r="K24" s="144"/>
    </row>
    <row r="25" spans="1:11" ht="12.75" customHeight="1" x14ac:dyDescent="0.2">
      <c r="A25" s="39" t="s">
        <v>841</v>
      </c>
      <c r="B25" s="421"/>
      <c r="C25" s="748"/>
      <c r="D25" s="745">
        <v>1478324301.5741799</v>
      </c>
      <c r="E25" s="733"/>
      <c r="F25" s="733">
        <v>109814603.89999999</v>
      </c>
      <c r="G25" s="733">
        <v>324895196.61000025</v>
      </c>
      <c r="H25" s="733">
        <f t="shared" ref="H25:H34" si="4">D25/12*3</f>
        <v>369581075.39354497</v>
      </c>
      <c r="I25" s="44">
        <f t="shared" ref="I25:I36" si="5">G25-H25</f>
        <v>-44685878.783544719</v>
      </c>
      <c r="J25" s="330">
        <f t="shared" ref="J25:J41" si="6">IF(I25=0,"",I25/H25)</f>
        <v>-0.12090954261108033</v>
      </c>
      <c r="K25" s="735">
        <f t="shared" ref="K25:K34" si="7">D25</f>
        <v>1478324301.5741799</v>
      </c>
    </row>
    <row r="26" spans="1:11" ht="12.75" customHeight="1" x14ac:dyDescent="0.2">
      <c r="A26" s="39" t="s">
        <v>477</v>
      </c>
      <c r="B26" s="419"/>
      <c r="C26" s="748"/>
      <c r="D26" s="745">
        <v>53650401.115479976</v>
      </c>
      <c r="E26" s="733"/>
      <c r="F26" s="733">
        <v>6257037.5000000019</v>
      </c>
      <c r="G26" s="733">
        <v>13624377.690000001</v>
      </c>
      <c r="H26" s="733">
        <f t="shared" si="4"/>
        <v>13412600.278869994</v>
      </c>
      <c r="I26" s="44">
        <f t="shared" si="5"/>
        <v>211777.41113000736</v>
      </c>
      <c r="J26" s="330">
        <f t="shared" si="6"/>
        <v>1.5789437299763436E-2</v>
      </c>
      <c r="K26" s="735">
        <f t="shared" si="7"/>
        <v>53650401.115479976</v>
      </c>
    </row>
    <row r="27" spans="1:11" ht="12.75" customHeight="1" x14ac:dyDescent="0.2">
      <c r="A27" s="86" t="s">
        <v>611</v>
      </c>
      <c r="B27" s="421"/>
      <c r="C27" s="748"/>
      <c r="D27" s="745">
        <v>123904143.27200001</v>
      </c>
      <c r="E27" s="733"/>
      <c r="F27" s="733">
        <v>375292.43</v>
      </c>
      <c r="G27" s="733">
        <v>1995451.0599999998</v>
      </c>
      <c r="H27" s="733">
        <f t="shared" si="4"/>
        <v>30976035.818000004</v>
      </c>
      <c r="I27" s="44">
        <f t="shared" si="5"/>
        <v>-28980584.758000005</v>
      </c>
      <c r="J27" s="330">
        <f t="shared" si="6"/>
        <v>-0.93558081247954739</v>
      </c>
      <c r="K27" s="735">
        <f t="shared" si="7"/>
        <v>123904143.27200001</v>
      </c>
    </row>
    <row r="28" spans="1:11" ht="12.75" customHeight="1" x14ac:dyDescent="0.2">
      <c r="A28" s="86" t="s">
        <v>664</v>
      </c>
      <c r="B28" s="421"/>
      <c r="C28" s="748"/>
      <c r="D28" s="745">
        <v>489941448.27473986</v>
      </c>
      <c r="E28" s="733"/>
      <c r="F28" s="733">
        <v>34060965.559999987</v>
      </c>
      <c r="G28" s="733">
        <v>106245839.76999991</v>
      </c>
      <c r="H28" s="733">
        <f t="shared" si="4"/>
        <v>122485362.06868497</v>
      </c>
      <c r="I28" s="44">
        <f t="shared" si="5"/>
        <v>-16239522.298685059</v>
      </c>
      <c r="J28" s="330">
        <f t="shared" si="6"/>
        <v>-0.13258337179571364</v>
      </c>
      <c r="K28" s="735">
        <f t="shared" si="7"/>
        <v>489941448.27473986</v>
      </c>
    </row>
    <row r="29" spans="1:11" ht="12.75" customHeight="1" x14ac:dyDescent="0.2">
      <c r="A29" s="86" t="s">
        <v>452</v>
      </c>
      <c r="B29" s="421"/>
      <c r="C29" s="748"/>
      <c r="D29" s="745">
        <v>31793212.220000003</v>
      </c>
      <c r="E29" s="733"/>
      <c r="F29" s="733">
        <v>3119835.02</v>
      </c>
      <c r="G29" s="733">
        <v>10409452.350000001</v>
      </c>
      <c r="H29" s="733">
        <f t="shared" si="4"/>
        <v>7948303.0550000016</v>
      </c>
      <c r="I29" s="44">
        <f t="shared" si="5"/>
        <v>2461149.2949999999</v>
      </c>
      <c r="J29" s="330">
        <f t="shared" si="6"/>
        <v>0.30964462199912929</v>
      </c>
      <c r="K29" s="735">
        <f t="shared" si="7"/>
        <v>31793212.220000003</v>
      </c>
    </row>
    <row r="30" spans="1:11" ht="12.75" customHeight="1" x14ac:dyDescent="0.2">
      <c r="A30" s="86" t="s">
        <v>844</v>
      </c>
      <c r="B30" s="421"/>
      <c r="C30" s="748"/>
      <c r="D30" s="745">
        <v>2608224084.5041752</v>
      </c>
      <c r="E30" s="733"/>
      <c r="F30" s="733">
        <v>522316422.21000004</v>
      </c>
      <c r="G30" s="733">
        <v>869680955.59000003</v>
      </c>
      <c r="H30" s="733">
        <f t="shared" si="4"/>
        <v>652056021.1260438</v>
      </c>
      <c r="I30" s="44">
        <f t="shared" si="5"/>
        <v>217624934.46395624</v>
      </c>
      <c r="J30" s="330">
        <f t="shared" si="6"/>
        <v>0.3337518977098578</v>
      </c>
      <c r="K30" s="735">
        <f t="shared" si="7"/>
        <v>2608224084.5041752</v>
      </c>
    </row>
    <row r="31" spans="1:11" ht="12.75" customHeight="1" x14ac:dyDescent="0.2">
      <c r="A31" s="86" t="s">
        <v>920</v>
      </c>
      <c r="B31" s="421"/>
      <c r="C31" s="748"/>
      <c r="D31" s="745">
        <v>46613414.686963424</v>
      </c>
      <c r="E31" s="733"/>
      <c r="F31" s="733">
        <v>-1166811.550000001</v>
      </c>
      <c r="G31" s="733">
        <v>337397.09000000008</v>
      </c>
      <c r="H31" s="733">
        <f t="shared" si="4"/>
        <v>11653353.671740856</v>
      </c>
      <c r="I31" s="44">
        <f t="shared" si="5"/>
        <v>-11315956.581740856</v>
      </c>
      <c r="J31" s="330">
        <f t="shared" si="6"/>
        <v>-0.97104721100002478</v>
      </c>
      <c r="K31" s="735">
        <f t="shared" si="7"/>
        <v>46613414.686963424</v>
      </c>
    </row>
    <row r="32" spans="1:11" ht="12.75" customHeight="1" x14ac:dyDescent="0.2">
      <c r="A32" s="86" t="s">
        <v>845</v>
      </c>
      <c r="B32" s="421"/>
      <c r="C32" s="748"/>
      <c r="D32" s="745">
        <v>464722594.2633999</v>
      </c>
      <c r="E32" s="733"/>
      <c r="F32" s="733">
        <v>46478873.259999983</v>
      </c>
      <c r="G32" s="733">
        <v>94277917.289999977</v>
      </c>
      <c r="H32" s="733">
        <f t="shared" si="4"/>
        <v>116180648.56584999</v>
      </c>
      <c r="I32" s="44">
        <f t="shared" si="5"/>
        <v>-21902731.275850013</v>
      </c>
      <c r="J32" s="330">
        <f t="shared" si="6"/>
        <v>-0.18852305909994788</v>
      </c>
      <c r="K32" s="735">
        <f t="shared" si="7"/>
        <v>464722594.2633999</v>
      </c>
    </row>
    <row r="33" spans="1:12" ht="12.75" customHeight="1" x14ac:dyDescent="0.2">
      <c r="A33" s="517" t="s">
        <v>1118</v>
      </c>
      <c r="B33" s="421"/>
      <c r="C33" s="748"/>
      <c r="D33" s="745">
        <v>25080461.44304001</v>
      </c>
      <c r="E33" s="733"/>
      <c r="F33" s="733">
        <v>7262281.1800000006</v>
      </c>
      <c r="G33" s="733">
        <v>12441325.07</v>
      </c>
      <c r="H33" s="733">
        <f t="shared" si="4"/>
        <v>6270115.3607600024</v>
      </c>
      <c r="I33" s="44">
        <f t="shared" si="5"/>
        <v>6171209.7092399979</v>
      </c>
      <c r="J33" s="330">
        <f t="shared" si="6"/>
        <v>0.98422586414613966</v>
      </c>
      <c r="K33" s="735">
        <f t="shared" si="7"/>
        <v>25080461.44304001</v>
      </c>
    </row>
    <row r="34" spans="1:12" ht="12.75" customHeight="1" x14ac:dyDescent="0.2">
      <c r="A34" s="86" t="s">
        <v>434</v>
      </c>
      <c r="B34" s="421"/>
      <c r="C34" s="748"/>
      <c r="D34" s="745">
        <v>194223408.19064996</v>
      </c>
      <c r="E34" s="733"/>
      <c r="F34" s="733">
        <v>10158910.20000001</v>
      </c>
      <c r="G34" s="733">
        <v>24393396.579999987</v>
      </c>
      <c r="H34" s="733">
        <f t="shared" si="4"/>
        <v>48555852.047662489</v>
      </c>
      <c r="I34" s="44">
        <f t="shared" si="5"/>
        <v>-24162455.467662502</v>
      </c>
      <c r="J34" s="330">
        <f t="shared" si="6"/>
        <v>-0.4976219023804711</v>
      </c>
      <c r="K34" s="735">
        <f t="shared" si="7"/>
        <v>194223408.19064996</v>
      </c>
    </row>
    <row r="35" spans="1:12" ht="12.75" customHeight="1" x14ac:dyDescent="0.2">
      <c r="A35" s="990" t="s">
        <v>1370</v>
      </c>
      <c r="B35" s="419"/>
      <c r="C35" s="748"/>
      <c r="D35" s="745"/>
      <c r="E35" s="733"/>
      <c r="F35" s="733"/>
      <c r="G35" s="733"/>
      <c r="H35" s="733"/>
      <c r="I35" s="44">
        <f t="shared" si="5"/>
        <v>0</v>
      </c>
      <c r="J35" s="330" t="str">
        <f t="shared" si="6"/>
        <v/>
      </c>
      <c r="K35" s="735"/>
    </row>
    <row r="36" spans="1:12" ht="12.75" customHeight="1" x14ac:dyDescent="0.2">
      <c r="A36" s="92" t="s">
        <v>488</v>
      </c>
      <c r="B36" s="422"/>
      <c r="C36" s="243">
        <f t="shared" ref="C36:K36" si="8">SUM(C25:C35)</f>
        <v>0</v>
      </c>
      <c r="D36" s="74">
        <f>SUM(D25:D35)</f>
        <v>5516477469.5446281</v>
      </c>
      <c r="E36" s="73">
        <f>SUM(E25:E35)</f>
        <v>0</v>
      </c>
      <c r="F36" s="73">
        <f t="shared" si="8"/>
        <v>738677409.71000004</v>
      </c>
      <c r="G36" s="73">
        <f t="shared" si="8"/>
        <v>1458301309.0999999</v>
      </c>
      <c r="H36" s="73">
        <f t="shared" si="8"/>
        <v>1379119367.386157</v>
      </c>
      <c r="I36" s="73">
        <f t="shared" si="5"/>
        <v>79181941.713842869</v>
      </c>
      <c r="J36" s="331">
        <f t="shared" si="6"/>
        <v>5.7414857325886366E-2</v>
      </c>
      <c r="K36" s="145">
        <f t="shared" si="8"/>
        <v>5516477469.5446281</v>
      </c>
    </row>
    <row r="37" spans="1:12" ht="5.0999999999999996" customHeight="1" x14ac:dyDescent="0.2">
      <c r="A37" s="42"/>
      <c r="B37" s="419"/>
      <c r="C37" s="134"/>
      <c r="D37" s="46"/>
      <c r="E37" s="44"/>
      <c r="F37" s="44"/>
      <c r="G37" s="44"/>
      <c r="H37" s="44"/>
      <c r="I37" s="47"/>
      <c r="J37" s="47"/>
      <c r="K37" s="144"/>
    </row>
    <row r="38" spans="1:12" ht="12.75" customHeight="1" x14ac:dyDescent="0.2">
      <c r="A38" s="87" t="s">
        <v>489</v>
      </c>
      <c r="B38" s="419"/>
      <c r="C38" s="109">
        <f t="shared" ref="C38:H38" si="9">C22-C36</f>
        <v>0</v>
      </c>
      <c r="D38" s="51">
        <f t="shared" si="9"/>
        <v>401332788.32743359</v>
      </c>
      <c r="E38" s="50">
        <f t="shared" si="9"/>
        <v>0</v>
      </c>
      <c r="F38" s="50">
        <f t="shared" si="9"/>
        <v>-312800916.87000006</v>
      </c>
      <c r="G38" s="50">
        <f t="shared" si="9"/>
        <v>69644516.450000286</v>
      </c>
      <c r="H38" s="50">
        <f t="shared" si="9"/>
        <v>100333197.0818584</v>
      </c>
      <c r="I38" s="102">
        <f>I22-I36</f>
        <v>-30688680.63185811</v>
      </c>
      <c r="J38" s="102">
        <f t="shared" si="6"/>
        <v>-0.30586766418716105</v>
      </c>
      <c r="K38" s="194">
        <f>K22-K36</f>
        <v>401332788.32743359</v>
      </c>
    </row>
    <row r="39" spans="1:12" ht="19.95" customHeight="1" x14ac:dyDescent="0.2">
      <c r="A39" s="937" t="s">
        <v>1119</v>
      </c>
      <c r="B39" s="419"/>
      <c r="C39" s="748"/>
      <c r="D39" s="745">
        <v>525891580.99999982</v>
      </c>
      <c r="E39" s="733"/>
      <c r="F39" s="733">
        <v>47548843.010000005</v>
      </c>
      <c r="G39" s="733">
        <v>75697011.819999993</v>
      </c>
      <c r="H39" s="733">
        <f>D39/12*3</f>
        <v>131472895.24999994</v>
      </c>
      <c r="I39" s="47">
        <f>G39-H39</f>
        <v>-55775883.429999948</v>
      </c>
      <c r="J39" s="102">
        <f t="shared" si="6"/>
        <v>-0.42423864876437317</v>
      </c>
      <c r="K39" s="735">
        <f>D39</f>
        <v>525891580.99999982</v>
      </c>
    </row>
    <row r="40" spans="1:12" ht="39.6" customHeight="1" x14ac:dyDescent="0.2">
      <c r="A40" s="937" t="s">
        <v>1120</v>
      </c>
      <c r="B40" s="419"/>
      <c r="C40" s="748"/>
      <c r="D40" s="745"/>
      <c r="E40" s="733"/>
      <c r="F40" s="733"/>
      <c r="G40" s="733"/>
      <c r="H40" s="733"/>
      <c r="I40" s="47">
        <f>G40-H40</f>
        <v>0</v>
      </c>
      <c r="J40" s="102" t="str">
        <f t="shared" si="6"/>
        <v/>
      </c>
      <c r="K40" s="735"/>
    </row>
    <row r="41" spans="1:12" ht="12.75" customHeight="1" x14ac:dyDescent="0.2">
      <c r="A41" s="518" t="s">
        <v>1121</v>
      </c>
      <c r="B41" s="419"/>
      <c r="C41" s="749"/>
      <c r="D41" s="750"/>
      <c r="E41" s="751"/>
      <c r="F41" s="751"/>
      <c r="G41" s="751"/>
      <c r="H41" s="751"/>
      <c r="I41" s="47">
        <f>G41-H41</f>
        <v>0</v>
      </c>
      <c r="J41" s="102" t="str">
        <f t="shared" si="6"/>
        <v/>
      </c>
      <c r="K41" s="752"/>
    </row>
    <row r="42" spans="1:12" x14ac:dyDescent="0.2">
      <c r="A42" s="250" t="s">
        <v>752</v>
      </c>
      <c r="B42" s="521"/>
      <c r="C42" s="252">
        <f t="shared" ref="C42:H42" si="10">C38+SUM(C39:C41)</f>
        <v>0</v>
      </c>
      <c r="D42" s="253">
        <f t="shared" si="10"/>
        <v>927224369.32743335</v>
      </c>
      <c r="E42" s="254">
        <f t="shared" si="10"/>
        <v>0</v>
      </c>
      <c r="F42" s="254">
        <f t="shared" si="10"/>
        <v>-265252073.86000007</v>
      </c>
      <c r="G42" s="254">
        <f t="shared" si="10"/>
        <v>145341528.27000028</v>
      </c>
      <c r="H42" s="254">
        <f t="shared" si="10"/>
        <v>231806092.33185834</v>
      </c>
      <c r="I42" s="329"/>
      <c r="J42" s="329"/>
      <c r="K42" s="255">
        <f>K38+SUM(K39:K41)</f>
        <v>927224369.32743335</v>
      </c>
    </row>
    <row r="43" spans="1:12" ht="12.75" customHeight="1" x14ac:dyDescent="0.2">
      <c r="A43" s="39" t="s">
        <v>466</v>
      </c>
      <c r="B43" s="419"/>
      <c r="C43" s="749"/>
      <c r="D43" s="750"/>
      <c r="E43" s="751"/>
      <c r="F43" s="751"/>
      <c r="G43" s="751"/>
      <c r="H43" s="751"/>
      <c r="I43" s="99">
        <f>G43-H43</f>
        <v>0</v>
      </c>
      <c r="J43" s="99" t="str">
        <f>IF(I43=0,"",I43/H43)</f>
        <v/>
      </c>
      <c r="K43" s="752"/>
    </row>
    <row r="44" spans="1:12" ht="12.75" customHeight="1" x14ac:dyDescent="0.2">
      <c r="A44" s="87" t="s">
        <v>467</v>
      </c>
      <c r="B44" s="419"/>
      <c r="C44" s="109">
        <f t="shared" ref="C44:H44" si="11">C42-C43</f>
        <v>0</v>
      </c>
      <c r="D44" s="51">
        <f t="shared" si="11"/>
        <v>927224369.32743335</v>
      </c>
      <c r="E44" s="50">
        <f t="shared" si="11"/>
        <v>0</v>
      </c>
      <c r="F44" s="50">
        <f t="shared" si="11"/>
        <v>-265252073.86000007</v>
      </c>
      <c r="G44" s="50">
        <f t="shared" si="11"/>
        <v>145341528.27000028</v>
      </c>
      <c r="H44" s="50">
        <f t="shared" si="11"/>
        <v>231806092.33185834</v>
      </c>
      <c r="I44" s="327"/>
      <c r="J44" s="327"/>
      <c r="K44" s="194">
        <f>K42-K43</f>
        <v>927224369.32743335</v>
      </c>
    </row>
    <row r="45" spans="1:12" ht="12.75" customHeight="1" x14ac:dyDescent="0.2">
      <c r="A45" s="39" t="s">
        <v>468</v>
      </c>
      <c r="B45" s="419"/>
      <c r="C45" s="748"/>
      <c r="D45" s="745"/>
      <c r="E45" s="733"/>
      <c r="F45" s="733"/>
      <c r="G45" s="733"/>
      <c r="H45" s="733"/>
      <c r="I45" s="273"/>
      <c r="J45" s="273"/>
      <c r="K45" s="735"/>
    </row>
    <row r="46" spans="1:12" ht="12.75" customHeight="1" x14ac:dyDescent="0.2">
      <c r="A46" s="527" t="s">
        <v>141</v>
      </c>
      <c r="B46" s="426"/>
      <c r="C46" s="529">
        <f t="shared" ref="C46:H46" si="12">SUM(C44:C45)</f>
        <v>0</v>
      </c>
      <c r="D46" s="530">
        <f t="shared" si="12"/>
        <v>927224369.32743335</v>
      </c>
      <c r="E46" s="528">
        <f t="shared" si="12"/>
        <v>0</v>
      </c>
      <c r="F46" s="528">
        <f t="shared" si="12"/>
        <v>-265252073.86000007</v>
      </c>
      <c r="G46" s="528">
        <f t="shared" si="12"/>
        <v>145341528.27000028</v>
      </c>
      <c r="H46" s="528">
        <f t="shared" si="12"/>
        <v>231806092.33185834</v>
      </c>
      <c r="I46" s="273"/>
      <c r="J46" s="273"/>
      <c r="K46" s="529">
        <f>SUM(K44:K45)</f>
        <v>927224369.32743335</v>
      </c>
      <c r="L46" s="100"/>
    </row>
    <row r="47" spans="1:12" ht="12.75" customHeight="1" x14ac:dyDescent="0.2">
      <c r="A47" s="256" t="s">
        <v>478</v>
      </c>
      <c r="B47" s="520"/>
      <c r="C47" s="749"/>
      <c r="D47" s="750"/>
      <c r="E47" s="751"/>
      <c r="F47" s="751"/>
      <c r="G47" s="751"/>
      <c r="H47" s="751"/>
      <c r="I47" s="328"/>
      <c r="J47" s="328"/>
      <c r="K47" s="752"/>
    </row>
    <row r="48" spans="1:12" ht="12.75" customHeight="1" x14ac:dyDescent="0.2">
      <c r="A48" s="94" t="s">
        <v>893</v>
      </c>
      <c r="B48" s="418"/>
      <c r="C48" s="244">
        <f t="shared" ref="C48:H48" si="13">C46+C47</f>
        <v>0</v>
      </c>
      <c r="D48" s="77">
        <f t="shared" si="13"/>
        <v>927224369.32743335</v>
      </c>
      <c r="E48" s="76">
        <f t="shared" si="13"/>
        <v>0</v>
      </c>
      <c r="F48" s="76">
        <f t="shared" si="13"/>
        <v>-265252073.86000007</v>
      </c>
      <c r="G48" s="76">
        <f t="shared" si="13"/>
        <v>145341528.27000028</v>
      </c>
      <c r="H48" s="76">
        <f t="shared" si="13"/>
        <v>231806092.33185834</v>
      </c>
      <c r="I48" s="334"/>
      <c r="J48" s="334"/>
      <c r="K48" s="234">
        <f>K46+K47</f>
        <v>927224369.32743335</v>
      </c>
    </row>
    <row r="49" spans="1:256" ht="12.75" customHeight="1" x14ac:dyDescent="0.2">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
      <c r="B51" s="58"/>
      <c r="C51" s="62"/>
      <c r="D51" s="62"/>
      <c r="E51" s="62"/>
      <c r="F51" s="62"/>
      <c r="G51" s="62"/>
      <c r="H51" s="62"/>
      <c r="I51" s="62"/>
      <c r="J51" s="62"/>
      <c r="K51" s="62"/>
    </row>
    <row r="52" spans="1:256" ht="11.25" customHeight="1" x14ac:dyDescent="0.2">
      <c r="A52" s="80"/>
      <c r="B52" s="58"/>
      <c r="C52" s="62"/>
      <c r="D52" s="62"/>
      <c r="E52" s="62"/>
      <c r="F52" s="62"/>
      <c r="G52" s="62"/>
      <c r="H52" s="62"/>
      <c r="I52" s="62"/>
      <c r="J52" s="62"/>
      <c r="K52" s="62"/>
    </row>
    <row r="53" spans="1:256" ht="11.25" customHeight="1" x14ac:dyDescent="0.2">
      <c r="A53" s="411" t="str">
        <f>A22&amp;" including capital transfers/contributions etc"</f>
        <v>Total Revenue (excluding capital transfers and contributions) including capital transfers/contributions etc</v>
      </c>
      <c r="B53" s="58"/>
      <c r="C53" s="62">
        <f t="shared" ref="C53:H53" si="14">C22+SUM(C39:C41)</f>
        <v>0</v>
      </c>
      <c r="D53" s="62">
        <f t="shared" si="14"/>
        <v>6443701838.8720617</v>
      </c>
      <c r="E53" s="62">
        <f t="shared" si="14"/>
        <v>0</v>
      </c>
      <c r="F53" s="62">
        <f t="shared" si="14"/>
        <v>473425335.84999996</v>
      </c>
      <c r="G53" s="62">
        <f t="shared" si="14"/>
        <v>1603642837.3700001</v>
      </c>
      <c r="H53" s="62">
        <f t="shared" si="14"/>
        <v>1610925459.7180154</v>
      </c>
      <c r="I53" s="62"/>
      <c r="J53" s="62"/>
      <c r="K53" s="62">
        <f>K22+SUM(K39:K41)</f>
        <v>6443701838.8720617</v>
      </c>
    </row>
    <row r="54" spans="1:256" ht="11.25" customHeight="1" x14ac:dyDescent="0.2">
      <c r="A54" s="80"/>
      <c r="B54" s="58"/>
      <c r="C54" s="62"/>
      <c r="D54" s="62"/>
      <c r="E54" s="62"/>
      <c r="F54" s="62"/>
      <c r="G54" s="62"/>
      <c r="H54" s="62"/>
      <c r="I54" s="62"/>
      <c r="J54" s="62"/>
      <c r="K54" s="62"/>
    </row>
    <row r="55" spans="1:256" ht="11.25" customHeight="1" x14ac:dyDescent="0.2">
      <c r="A55" s="80"/>
      <c r="B55" s="58"/>
      <c r="C55" s="62"/>
      <c r="D55" s="62"/>
      <c r="E55" s="62"/>
      <c r="F55" s="62"/>
      <c r="G55" s="62"/>
      <c r="H55" s="62"/>
      <c r="I55" s="62"/>
      <c r="J55" s="62"/>
      <c r="K55" s="62"/>
    </row>
    <row r="56" spans="1:256" ht="11.25" customHeight="1" x14ac:dyDescent="0.2">
      <c r="A56" s="80"/>
      <c r="B56" s="58"/>
      <c r="C56" s="62"/>
      <c r="D56" s="62"/>
      <c r="E56" s="62"/>
      <c r="F56" s="62"/>
      <c r="G56" s="62"/>
      <c r="H56" s="62"/>
      <c r="I56" s="62"/>
      <c r="J56" s="62"/>
      <c r="K56" s="62"/>
    </row>
    <row r="57" spans="1:256" ht="11.25" customHeight="1" x14ac:dyDescent="0.2">
      <c r="A57" s="65"/>
      <c r="B57" s="64"/>
      <c r="C57" s="689"/>
      <c r="D57" s="689"/>
      <c r="E57" s="689"/>
      <c r="F57" s="689"/>
      <c r="G57" s="689"/>
      <c r="H57" s="689"/>
      <c r="I57" s="689"/>
      <c r="J57" s="689"/>
      <c r="K57" s="689"/>
    </row>
    <row r="58" spans="1:256" ht="11.25" customHeight="1" x14ac:dyDescent="0.2">
      <c r="A58" s="65"/>
      <c r="B58" s="64"/>
      <c r="C58" s="66"/>
      <c r="D58" s="66"/>
      <c r="E58" s="66"/>
      <c r="F58" s="66"/>
      <c r="G58" s="66"/>
      <c r="H58" s="66"/>
      <c r="I58" s="66"/>
      <c r="J58" s="66"/>
      <c r="K58" s="66"/>
    </row>
    <row r="59" spans="1:256" ht="11.25" customHeight="1" x14ac:dyDescent="0.2">
      <c r="B59" s="25"/>
    </row>
    <row r="60" spans="1:256" ht="11.25" customHeight="1" x14ac:dyDescent="0.2">
      <c r="B60" s="25"/>
    </row>
    <row r="61" spans="1:256" ht="11.25" customHeight="1" x14ac:dyDescent="0.2">
      <c r="B61" s="25"/>
    </row>
    <row r="62" spans="1:256" ht="11.25" customHeight="1" x14ac:dyDescent="0.2">
      <c r="B62" s="25"/>
    </row>
    <row r="63" spans="1:256" ht="11.25" customHeight="1" x14ac:dyDescent="0.2">
      <c r="B63" s="25"/>
    </row>
    <row r="64" spans="1:256"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c r="B84" s="25"/>
    </row>
    <row r="85" spans="2:2" ht="11.25" customHeight="1" x14ac:dyDescent="0.2">
      <c r="B85" s="25"/>
    </row>
    <row r="86" spans="2:2" ht="11.25" customHeight="1" x14ac:dyDescent="0.2">
      <c r="B86" s="25"/>
    </row>
    <row r="87" spans="2:2" ht="11.25" customHeight="1" x14ac:dyDescent="0.2">
      <c r="B87" s="25"/>
    </row>
    <row r="88" spans="2:2" ht="11.25" customHeight="1" x14ac:dyDescent="0.2">
      <c r="B88" s="25"/>
    </row>
    <row r="89" spans="2:2" ht="11.25" customHeight="1" x14ac:dyDescent="0.2">
      <c r="B89" s="25"/>
    </row>
    <row r="90" spans="2:2" ht="11.25" customHeight="1" x14ac:dyDescent="0.2">
      <c r="B90" s="25"/>
    </row>
    <row r="91" spans="2:2" ht="11.25" customHeight="1" x14ac:dyDescent="0.2">
      <c r="B91" s="25"/>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61" activePane="bottomRight" state="frozen"/>
      <selection pane="topRight"/>
      <selection pane="bottomLeft"/>
      <selection pane="bottomRight" activeCell="K98" sqref="K98"/>
    </sheetView>
  </sheetViews>
  <sheetFormatPr defaultColWidth="9.109375" defaultRowHeight="10.199999999999999" x14ac:dyDescent="0.2"/>
  <cols>
    <col min="1" max="1" width="35.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2" ht="28.5" customHeight="1" x14ac:dyDescent="0.3">
      <c r="A1" s="1044" t="str">
        <f>muni&amp; " - "&amp;S71D&amp; " - "&amp;date</f>
        <v>KZN225 Msunduzi - Table C5 Consolidated Monthly Budget Statement - Capital Expenditure (municipal vote, functional classification and funding  - Q1 First Quarter</v>
      </c>
      <c r="B1" s="1044"/>
      <c r="C1" s="1044"/>
      <c r="D1" s="1044"/>
      <c r="E1" s="1044"/>
      <c r="F1" s="1044"/>
      <c r="G1" s="1044"/>
      <c r="H1" s="1044"/>
      <c r="I1" s="1044"/>
      <c r="J1" s="1044"/>
      <c r="K1" s="1044"/>
    </row>
    <row r="2" spans="1:12" x14ac:dyDescent="0.2">
      <c r="A2" s="1042" t="str">
        <f>Vdesc</f>
        <v>Vote Description</v>
      </c>
      <c r="B2" s="1051" t="str">
        <f>head27</f>
        <v>Ref</v>
      </c>
      <c r="C2" s="139" t="str">
        <f>Head1</f>
        <v>2019/20</v>
      </c>
      <c r="D2" s="245" t="str">
        <f>Head2</f>
        <v>Budget Year 2020/21</v>
      </c>
      <c r="E2" s="229"/>
      <c r="F2" s="229"/>
      <c r="G2" s="229"/>
      <c r="H2" s="229"/>
      <c r="I2" s="229"/>
      <c r="J2" s="229"/>
      <c r="K2" s="230"/>
    </row>
    <row r="3" spans="1:12" ht="20.399999999999999" x14ac:dyDescent="0.2">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
      <c r="A4" s="34" t="s">
        <v>667</v>
      </c>
      <c r="B4" s="418">
        <v>1</v>
      </c>
      <c r="C4" s="187"/>
      <c r="D4" s="246"/>
      <c r="E4" s="241"/>
      <c r="F4" s="82"/>
      <c r="G4" s="82"/>
      <c r="H4" s="82"/>
      <c r="I4" s="82"/>
      <c r="J4" s="242" t="s">
        <v>575</v>
      </c>
      <c r="K4" s="223"/>
    </row>
    <row r="5" spans="1:12" ht="11.25" customHeight="1" x14ac:dyDescent="0.2">
      <c r="A5" s="182" t="s">
        <v>662</v>
      </c>
      <c r="B5" s="519">
        <v>2</v>
      </c>
      <c r="C5" s="134"/>
      <c r="D5" s="258"/>
      <c r="E5" s="44"/>
      <c r="F5" s="44"/>
      <c r="G5" s="44"/>
      <c r="H5" s="44"/>
      <c r="I5" s="44"/>
      <c r="J5" s="44"/>
      <c r="K5" s="144"/>
      <c r="L5" s="100"/>
    </row>
    <row r="6" spans="1:12" ht="13.5" customHeight="1" x14ac:dyDescent="0.2">
      <c r="A6" s="407" t="str">
        <f>'Org structure'!A2</f>
        <v>Vote 1 - City Manager</v>
      </c>
      <c r="B6" s="419"/>
      <c r="C6" s="531">
        <f>'C5C'!C7</f>
        <v>0</v>
      </c>
      <c r="D6" s="532">
        <f>'C5C'!D7</f>
        <v>3800000</v>
      </c>
      <c r="E6" s="47">
        <f>'C5C'!E7</f>
        <v>0</v>
      </c>
      <c r="F6" s="47">
        <f>'C5C'!F7</f>
        <v>0</v>
      </c>
      <c r="G6" s="47">
        <f>'C5C'!G7</f>
        <v>0</v>
      </c>
      <c r="H6" s="47">
        <f>'C5C'!H7</f>
        <v>950000</v>
      </c>
      <c r="I6" s="44">
        <f>G6-H6</f>
        <v>-950000</v>
      </c>
      <c r="J6" s="330">
        <f>IF(I6=0,"",I6/H6)</f>
        <v>-1</v>
      </c>
      <c r="K6" s="144">
        <f>'C5C'!K7</f>
        <v>3800000</v>
      </c>
      <c r="L6" s="100"/>
    </row>
    <row r="7" spans="1:12" ht="13.5" customHeight="1" x14ac:dyDescent="0.2">
      <c r="A7" s="407" t="str">
        <f>'Org structure'!A3</f>
        <v>Vote 2 - City Finance</v>
      </c>
      <c r="B7" s="419"/>
      <c r="C7" s="648">
        <f>'C5C'!C12</f>
        <v>0</v>
      </c>
      <c r="D7" s="670">
        <f>'C5C'!D12</f>
        <v>12500000</v>
      </c>
      <c r="E7" s="408">
        <f>'C5C'!E12</f>
        <v>0</v>
      </c>
      <c r="F7" s="408">
        <f>'C5C'!F12</f>
        <v>0</v>
      </c>
      <c r="G7" s="408">
        <f>'C5C'!G12</f>
        <v>0</v>
      </c>
      <c r="H7" s="408">
        <f>'C5C'!H12</f>
        <v>3125000</v>
      </c>
      <c r="I7" s="44">
        <f>G7-H7</f>
        <v>-3125000</v>
      </c>
      <c r="J7" s="330">
        <f>IF(I7=0,"",I7/H7)</f>
        <v>-1</v>
      </c>
      <c r="K7" s="642">
        <f>'C5C'!K12</f>
        <v>12500000</v>
      </c>
      <c r="L7" s="100"/>
    </row>
    <row r="8" spans="1:12" ht="13.5" customHeight="1" x14ac:dyDescent="0.2">
      <c r="A8" s="407" t="str">
        <f>'Org structure'!A4</f>
        <v>Vote 3 - Community Services and Social Equity</v>
      </c>
      <c r="B8" s="419"/>
      <c r="C8" s="648">
        <f>'C5C'!C18</f>
        <v>0</v>
      </c>
      <c r="D8" s="670">
        <f>'C5C'!D18</f>
        <v>23812425</v>
      </c>
      <c r="E8" s="408">
        <f>'C5C'!E18</f>
        <v>0</v>
      </c>
      <c r="F8" s="408">
        <f>'C5C'!F18</f>
        <v>1299121.26</v>
      </c>
      <c r="G8" s="408">
        <f>'C5C'!G18</f>
        <v>2295742.15</v>
      </c>
      <c r="H8" s="408">
        <f>'C5C'!H18</f>
        <v>5953106.25</v>
      </c>
      <c r="I8" s="44">
        <f t="shared" ref="I8:I17" si="0">G8-H8</f>
        <v>-3657364.1</v>
      </c>
      <c r="J8" s="330">
        <f t="shared" ref="J8:J17" si="1">IF(I8=0,"",I8/H8)</f>
        <v>-0.6143623087526785</v>
      </c>
      <c r="K8" s="642">
        <f>'C5C'!K18</f>
        <v>23812425</v>
      </c>
      <c r="L8" s="697"/>
    </row>
    <row r="9" spans="1:12" ht="13.5" customHeight="1" x14ac:dyDescent="0.2">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
      <c r="A10" s="407" t="str">
        <f>'Org structure'!A6</f>
        <v>Vote 5 - Infrastructure Services</v>
      </c>
      <c r="B10" s="419"/>
      <c r="C10" s="648">
        <f>'C5C'!C29</f>
        <v>0</v>
      </c>
      <c r="D10" s="670">
        <f>'C5C'!D29</f>
        <v>168455000</v>
      </c>
      <c r="E10" s="408">
        <f>'C5C'!E29</f>
        <v>0</v>
      </c>
      <c r="F10" s="408">
        <f>'C5C'!F29</f>
        <v>19594600.210000001</v>
      </c>
      <c r="G10" s="408">
        <f>'C5C'!G29</f>
        <v>19594600.210000001</v>
      </c>
      <c r="H10" s="408">
        <f>'C5C'!H29</f>
        <v>42113750</v>
      </c>
      <c r="I10" s="44">
        <f t="shared" si="0"/>
        <v>-22519149.789999999</v>
      </c>
      <c r="J10" s="330">
        <f t="shared" si="1"/>
        <v>-0.53472202760381105</v>
      </c>
      <c r="K10" s="642">
        <f>'C5C'!K29</f>
        <v>168455000</v>
      </c>
      <c r="L10" s="697"/>
    </row>
    <row r="11" spans="1:12" ht="13.5" customHeight="1" x14ac:dyDescent="0.2">
      <c r="A11" s="407" t="str">
        <f>'Org structure'!A7</f>
        <v>Vote 6 - Sustainable Development and City Enterprises</v>
      </c>
      <c r="B11" s="419"/>
      <c r="C11" s="648">
        <f>'C5C'!C35</f>
        <v>0</v>
      </c>
      <c r="D11" s="670">
        <f>'C5C'!D35</f>
        <v>300600156</v>
      </c>
      <c r="E11" s="408">
        <f>'C5C'!E35</f>
        <v>0</v>
      </c>
      <c r="F11" s="408">
        <f>'C5C'!F35</f>
        <v>11857889.149999999</v>
      </c>
      <c r="G11" s="408">
        <f>'C5C'!G35</f>
        <v>17276017.299999997</v>
      </c>
      <c r="H11" s="408">
        <f>'C5C'!H35</f>
        <v>75150039</v>
      </c>
      <c r="I11" s="44">
        <f t="shared" si="0"/>
        <v>-57874021.700000003</v>
      </c>
      <c r="J11" s="330">
        <f t="shared" si="1"/>
        <v>-0.77011299621547769</v>
      </c>
      <c r="K11" s="642">
        <f>'C5C'!K35</f>
        <v>300600156</v>
      </c>
      <c r="L11" s="697"/>
    </row>
    <row r="12" spans="1:12" ht="13.5" customHeight="1" x14ac:dyDescent="0.2">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
      <c r="A21" s="87" t="s">
        <v>759</v>
      </c>
      <c r="B21" s="419" t="s">
        <v>525</v>
      </c>
      <c r="C21" s="516">
        <f>SUM(C6:C20)</f>
        <v>0</v>
      </c>
      <c r="D21" s="544">
        <f t="shared" ref="D21:I21" si="2">SUM(D6:D20)</f>
        <v>509167581</v>
      </c>
      <c r="E21" s="430">
        <f t="shared" si="2"/>
        <v>0</v>
      </c>
      <c r="F21" s="430">
        <f t="shared" si="2"/>
        <v>32751610.620000001</v>
      </c>
      <c r="G21" s="430">
        <f t="shared" si="2"/>
        <v>39166359.659999996</v>
      </c>
      <c r="H21" s="430">
        <f t="shared" si="2"/>
        <v>127291895.25</v>
      </c>
      <c r="I21" s="430">
        <f t="shared" si="2"/>
        <v>-88125535.590000004</v>
      </c>
      <c r="J21" s="431">
        <f>IF(I21=0,"",I21/H21)</f>
        <v>-0.69231065667552782</v>
      </c>
      <c r="K21" s="513">
        <f>SUM(K6:K20)</f>
        <v>509167581</v>
      </c>
      <c r="L21" s="100"/>
    </row>
    <row r="22" spans="1:12" ht="5.0999999999999996" customHeight="1" x14ac:dyDescent="0.2">
      <c r="A22" s="42"/>
      <c r="B22" s="419"/>
      <c r="C22" s="134"/>
      <c r="D22" s="258"/>
      <c r="E22" s="44"/>
      <c r="F22" s="44"/>
      <c r="G22" s="44"/>
      <c r="H22" s="44"/>
      <c r="I22" s="44"/>
      <c r="J22" s="330"/>
      <c r="K22" s="144"/>
      <c r="L22" s="100"/>
    </row>
    <row r="23" spans="1:12" ht="12.75" customHeight="1" x14ac:dyDescent="0.2">
      <c r="A23" s="35" t="s">
        <v>474</v>
      </c>
      <c r="B23" s="419">
        <v>2</v>
      </c>
      <c r="C23" s="134"/>
      <c r="D23" s="258"/>
      <c r="E23" s="44"/>
      <c r="F23" s="44"/>
      <c r="G23" s="44"/>
      <c r="H23" s="44"/>
      <c r="I23" s="44"/>
      <c r="J23" s="330"/>
      <c r="K23" s="144"/>
      <c r="L23" s="100"/>
    </row>
    <row r="24" spans="1:12" ht="12.75" customHeight="1" x14ac:dyDescent="0.2">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
      <c r="A25" s="407" t="str">
        <f>'Org structure'!A3</f>
        <v>Vote 2 - City Finance</v>
      </c>
      <c r="B25" s="419"/>
      <c r="C25" s="134">
        <f>'C5C'!C160</f>
        <v>0</v>
      </c>
      <c r="D25" s="258">
        <f>'C5C'!D160</f>
        <v>15000000</v>
      </c>
      <c r="E25" s="44">
        <f>'C5C'!E160</f>
        <v>0</v>
      </c>
      <c r="F25" s="44">
        <f>'C5C'!F160</f>
        <v>0</v>
      </c>
      <c r="G25" s="44">
        <f>'C5C'!G160</f>
        <v>-97000</v>
      </c>
      <c r="H25" s="44">
        <f>'C5C'!H160</f>
        <v>3750000</v>
      </c>
      <c r="I25" s="44">
        <f>'C5C'!I160</f>
        <v>-3847000</v>
      </c>
      <c r="J25" s="330">
        <f t="shared" ref="J25:J39" si="3">IF(I25=0,"",I25/H25)</f>
        <v>-1.0258666666666667</v>
      </c>
      <c r="K25" s="144">
        <f>'C5C'!K160</f>
        <v>15000000</v>
      </c>
      <c r="L25" s="100"/>
    </row>
    <row r="26" spans="1:12" ht="12.75" customHeight="1" x14ac:dyDescent="0.2">
      <c r="A26" s="407" t="str">
        <f>'Org structure'!A4</f>
        <v>Vote 3 - Community Services and Social Equity</v>
      </c>
      <c r="B26" s="419"/>
      <c r="C26" s="134">
        <f>'C5C'!C171</f>
        <v>0</v>
      </c>
      <c r="D26" s="258">
        <f>'C5C'!D171</f>
        <v>13700000</v>
      </c>
      <c r="E26" s="44">
        <f>'C5C'!E171</f>
        <v>0</v>
      </c>
      <c r="F26" s="44">
        <f>'C5C'!F171</f>
        <v>3655476</v>
      </c>
      <c r="G26" s="44">
        <f>'C5C'!G171</f>
        <v>4336010.5299999993</v>
      </c>
      <c r="H26" s="44">
        <f>'C5C'!H171</f>
        <v>3425000</v>
      </c>
      <c r="I26" s="44">
        <f>'C5C'!I171</f>
        <v>911010.52999999933</v>
      </c>
      <c r="J26" s="330">
        <f t="shared" si="3"/>
        <v>0.26598847591240854</v>
      </c>
      <c r="K26" s="144">
        <f>'C5C'!K171</f>
        <v>13700000</v>
      </c>
      <c r="L26" s="697"/>
    </row>
    <row r="27" spans="1:12" ht="12.75" customHeight="1" x14ac:dyDescent="0.2">
      <c r="A27" s="407" t="str">
        <f>'Org structure'!A5</f>
        <v>Vote 4 - Corporate Services</v>
      </c>
      <c r="B27" s="419"/>
      <c r="C27" s="134">
        <f>'C5C'!C182</f>
        <v>0</v>
      </c>
      <c r="D27" s="258">
        <f>'C5C'!D182</f>
        <v>0</v>
      </c>
      <c r="E27" s="44">
        <f>'C5C'!E182</f>
        <v>0</v>
      </c>
      <c r="F27" s="44">
        <f>'C5C'!F182</f>
        <v>0</v>
      </c>
      <c r="G27" s="44">
        <f>'C5C'!G182</f>
        <v>0</v>
      </c>
      <c r="H27" s="44">
        <f>'C5C'!H182</f>
        <v>0</v>
      </c>
      <c r="I27" s="44">
        <f>'C5C'!I182</f>
        <v>0</v>
      </c>
      <c r="J27" s="330" t="str">
        <f t="shared" si="3"/>
        <v/>
      </c>
      <c r="K27" s="144">
        <f>'C5C'!K182</f>
        <v>0</v>
      </c>
      <c r="L27" s="697"/>
    </row>
    <row r="28" spans="1:12" ht="12.75" customHeight="1" x14ac:dyDescent="0.2">
      <c r="A28" s="407" t="str">
        <f>'Org structure'!A6</f>
        <v>Vote 5 - Infrastructure Services</v>
      </c>
      <c r="B28" s="419"/>
      <c r="C28" s="134">
        <f>'C5C'!C193</f>
        <v>0</v>
      </c>
      <c r="D28" s="258">
        <f>'C5C'!D193</f>
        <v>33000000</v>
      </c>
      <c r="E28" s="44">
        <f>'C5C'!E193</f>
        <v>0</v>
      </c>
      <c r="F28" s="44">
        <f>'C5C'!F193</f>
        <v>15183866.609999999</v>
      </c>
      <c r="G28" s="44">
        <f>'C5C'!G193</f>
        <v>37362644.670000002</v>
      </c>
      <c r="H28" s="44">
        <f>'C5C'!H193</f>
        <v>8250000</v>
      </c>
      <c r="I28" s="44">
        <f>'C5C'!I193</f>
        <v>29112644.670000002</v>
      </c>
      <c r="J28" s="330">
        <f t="shared" si="3"/>
        <v>3.5288054145454546</v>
      </c>
      <c r="K28" s="144">
        <f>'C5C'!K193</f>
        <v>33000000</v>
      </c>
      <c r="L28" s="697"/>
    </row>
    <row r="29" spans="1:12" ht="12.75" customHeight="1" x14ac:dyDescent="0.2">
      <c r="A29" s="407" t="str">
        <f>'Org structure'!A7</f>
        <v>Vote 6 - Sustainable Development and City Enterprises</v>
      </c>
      <c r="B29" s="419"/>
      <c r="C29" s="134">
        <f>'C5C'!C204</f>
        <v>0</v>
      </c>
      <c r="D29" s="258">
        <f>'C5C'!D204</f>
        <v>10024000</v>
      </c>
      <c r="E29" s="44">
        <f>'C5C'!E204</f>
        <v>0</v>
      </c>
      <c r="F29" s="44">
        <f>'C5C'!F204</f>
        <v>0</v>
      </c>
      <c r="G29" s="44">
        <f>'C5C'!G204</f>
        <v>-1082623.3999999999</v>
      </c>
      <c r="H29" s="44">
        <f>'C5C'!H204</f>
        <v>2506000</v>
      </c>
      <c r="I29" s="44">
        <f>'C5C'!I204</f>
        <v>-3588623.4</v>
      </c>
      <c r="J29" s="330">
        <f t="shared" si="3"/>
        <v>-1.4320125299281723</v>
      </c>
      <c r="K29" s="144">
        <f>'C5C'!K204</f>
        <v>10024000</v>
      </c>
      <c r="L29" s="697"/>
    </row>
    <row r="30" spans="1:12" ht="12.75" customHeight="1" x14ac:dyDescent="0.2">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
      <c r="A39" s="350" t="s">
        <v>760</v>
      </c>
      <c r="B39" s="520">
        <v>4</v>
      </c>
      <c r="C39" s="261">
        <f t="shared" ref="C39:I39" si="4">SUM(C24:C38)</f>
        <v>0</v>
      </c>
      <c r="D39" s="262">
        <f t="shared" si="4"/>
        <v>71724000</v>
      </c>
      <c r="E39" s="161">
        <f t="shared" si="4"/>
        <v>0</v>
      </c>
      <c r="F39" s="161">
        <f t="shared" si="4"/>
        <v>18839342.609999999</v>
      </c>
      <c r="G39" s="161">
        <f t="shared" si="4"/>
        <v>41654631.800000004</v>
      </c>
      <c r="H39" s="161">
        <f t="shared" si="4"/>
        <v>17931000</v>
      </c>
      <c r="I39" s="73">
        <f t="shared" si="4"/>
        <v>23723631.800000004</v>
      </c>
      <c r="J39" s="331">
        <f t="shared" si="3"/>
        <v>1.323051240867771</v>
      </c>
      <c r="K39" s="263">
        <f>SUM(K24:K38)</f>
        <v>71724000</v>
      </c>
      <c r="L39" s="100"/>
    </row>
    <row r="40" spans="1:12" ht="12.75" customHeight="1" x14ac:dyDescent="0.2">
      <c r="A40" s="92" t="s">
        <v>761</v>
      </c>
      <c r="B40" s="422"/>
      <c r="C40" s="243">
        <f t="shared" ref="C40:I40" si="5">C39+C21</f>
        <v>0</v>
      </c>
      <c r="D40" s="260">
        <f t="shared" si="5"/>
        <v>580891581</v>
      </c>
      <c r="E40" s="73">
        <f t="shared" si="5"/>
        <v>0</v>
      </c>
      <c r="F40" s="73">
        <f t="shared" si="5"/>
        <v>51590953.230000004</v>
      </c>
      <c r="G40" s="73">
        <f t="shared" si="5"/>
        <v>80820991.460000008</v>
      </c>
      <c r="H40" s="73">
        <f t="shared" si="5"/>
        <v>145222895.25</v>
      </c>
      <c r="I40" s="73">
        <f t="shared" si="5"/>
        <v>-64401903.789999999</v>
      </c>
      <c r="J40" s="331">
        <f>IF(I40=0,"",I40/H40)</f>
        <v>-0.44346935570408963</v>
      </c>
      <c r="K40" s="145">
        <f>K39+K21</f>
        <v>580891581</v>
      </c>
      <c r="L40" s="100"/>
    </row>
    <row r="41" spans="1:12" ht="5.0999999999999996" customHeight="1" x14ac:dyDescent="0.2">
      <c r="A41" s="42"/>
      <c r="B41" s="419"/>
      <c r="C41" s="134"/>
      <c r="D41" s="258"/>
      <c r="E41" s="44"/>
      <c r="F41" s="44"/>
      <c r="G41" s="44"/>
      <c r="H41" s="44"/>
      <c r="I41" s="44"/>
      <c r="J41" s="330"/>
      <c r="K41" s="144"/>
      <c r="L41" s="100"/>
    </row>
    <row r="42" spans="1:12" ht="12.75" customHeight="1" x14ac:dyDescent="0.2">
      <c r="A42" s="35" t="s">
        <v>1214</v>
      </c>
      <c r="B42" s="419"/>
      <c r="C42" s="134"/>
      <c r="D42" s="258"/>
      <c r="E42" s="44"/>
      <c r="F42" s="44"/>
      <c r="G42" s="44"/>
      <c r="H42" s="44"/>
      <c r="I42" s="44"/>
      <c r="J42" s="330"/>
      <c r="K42" s="144"/>
      <c r="L42" s="100"/>
    </row>
    <row r="43" spans="1:12" ht="12.75" customHeight="1" x14ac:dyDescent="0.2">
      <c r="A43" s="414" t="s">
        <v>138</v>
      </c>
      <c r="B43" s="421"/>
      <c r="C43" s="641">
        <f t="shared" ref="C43:H43" si="6">SUM(C44:C46)</f>
        <v>0</v>
      </c>
      <c r="D43" s="669">
        <f t="shared" si="6"/>
        <v>32500000</v>
      </c>
      <c r="E43" s="637">
        <f t="shared" si="6"/>
        <v>0</v>
      </c>
      <c r="F43" s="637">
        <f t="shared" si="6"/>
        <v>0</v>
      </c>
      <c r="G43" s="637">
        <f t="shared" si="6"/>
        <v>1038600</v>
      </c>
      <c r="H43" s="637">
        <f t="shared" si="6"/>
        <v>8125000</v>
      </c>
      <c r="I43" s="44">
        <f t="shared" ref="I43:I62" si="7">G43-H43</f>
        <v>-7086400</v>
      </c>
      <c r="J43" s="330">
        <f>IF(I43=0,"",I43/H43)</f>
        <v>-0.87217230769230769</v>
      </c>
      <c r="K43" s="641">
        <f>SUM(K44:K46)</f>
        <v>32500000</v>
      </c>
      <c r="L43" s="100"/>
    </row>
    <row r="44" spans="1:12" ht="12.75" customHeight="1" x14ac:dyDescent="0.2">
      <c r="A44" s="416" t="s">
        <v>108</v>
      </c>
      <c r="B44" s="419"/>
      <c r="C44" s="735"/>
      <c r="D44" s="753">
        <v>5000000</v>
      </c>
      <c r="E44" s="733"/>
      <c r="F44" s="733"/>
      <c r="G44" s="733">
        <v>1135600</v>
      </c>
      <c r="H44" s="733">
        <f>D44/12*3</f>
        <v>1250000</v>
      </c>
      <c r="I44" s="44">
        <f t="shared" si="7"/>
        <v>-114400</v>
      </c>
      <c r="J44" s="330">
        <f t="shared" ref="J44:J63" si="8">IF(I44=0,"",I44/H44)</f>
        <v>-9.1520000000000004E-2</v>
      </c>
      <c r="K44" s="735">
        <f>D44</f>
        <v>5000000</v>
      </c>
      <c r="L44" s="100"/>
    </row>
    <row r="45" spans="1:12" ht="12.75" customHeight="1" x14ac:dyDescent="0.2">
      <c r="A45" s="416" t="s">
        <v>1123</v>
      </c>
      <c r="B45" s="419"/>
      <c r="C45" s="754"/>
      <c r="D45" s="755">
        <v>27500000</v>
      </c>
      <c r="E45" s="756"/>
      <c r="F45" s="756"/>
      <c r="G45" s="756">
        <v>-97000</v>
      </c>
      <c r="H45" s="756">
        <f>D45/12*3</f>
        <v>6875000</v>
      </c>
      <c r="I45" s="44">
        <f t="shared" si="7"/>
        <v>-6972000</v>
      </c>
      <c r="J45" s="330">
        <f t="shared" si="8"/>
        <v>-1.0141090909090908</v>
      </c>
      <c r="K45" s="754">
        <f>D45</f>
        <v>27500000</v>
      </c>
      <c r="L45" s="100"/>
    </row>
    <row r="46" spans="1:12" ht="12.75" customHeight="1" x14ac:dyDescent="0.2">
      <c r="A46" s="416" t="s">
        <v>1134</v>
      </c>
      <c r="B46" s="419"/>
      <c r="C46" s="735"/>
      <c r="D46" s="753"/>
      <c r="E46" s="733"/>
      <c r="F46" s="733"/>
      <c r="G46" s="733"/>
      <c r="H46" s="733"/>
      <c r="I46" s="44">
        <f t="shared" si="7"/>
        <v>0</v>
      </c>
      <c r="J46" s="330" t="str">
        <f t="shared" si="8"/>
        <v/>
      </c>
      <c r="K46" s="735"/>
      <c r="L46" s="100"/>
    </row>
    <row r="47" spans="1:12" ht="12.75" customHeight="1" x14ac:dyDescent="0.2">
      <c r="A47" s="414" t="s">
        <v>109</v>
      </c>
      <c r="B47" s="419"/>
      <c r="C47" s="641">
        <f t="shared" ref="C47:H47" si="9">SUM(C48:C52)</f>
        <v>0</v>
      </c>
      <c r="D47" s="669">
        <f t="shared" si="9"/>
        <v>324874092</v>
      </c>
      <c r="E47" s="637">
        <f t="shared" si="9"/>
        <v>0</v>
      </c>
      <c r="F47" s="637">
        <f t="shared" si="9"/>
        <v>4176508.6599999997</v>
      </c>
      <c r="G47" s="637">
        <f t="shared" si="9"/>
        <v>5853664.0799999991</v>
      </c>
      <c r="H47" s="637">
        <f t="shared" si="9"/>
        <v>81218523</v>
      </c>
      <c r="I47" s="44">
        <f t="shared" si="7"/>
        <v>-75364858.920000002</v>
      </c>
      <c r="J47" s="330">
        <f t="shared" si="8"/>
        <v>-0.9279269818782595</v>
      </c>
      <c r="K47" s="641">
        <f>SUM(K48:K52)</f>
        <v>324874092</v>
      </c>
      <c r="L47" s="100"/>
    </row>
    <row r="48" spans="1:12" ht="12.75" customHeight="1" x14ac:dyDescent="0.2">
      <c r="A48" s="416" t="s">
        <v>110</v>
      </c>
      <c r="B48" s="419"/>
      <c r="C48" s="735"/>
      <c r="D48" s="753">
        <v>45972000</v>
      </c>
      <c r="E48" s="733"/>
      <c r="F48" s="733">
        <v>4176508.6599999997</v>
      </c>
      <c r="G48" s="733">
        <v>5141133.4699999988</v>
      </c>
      <c r="H48" s="733">
        <f>D48/12*3</f>
        <v>11493000</v>
      </c>
      <c r="I48" s="44">
        <f t="shared" si="7"/>
        <v>-6351866.5300000012</v>
      </c>
      <c r="J48" s="330">
        <f t="shared" si="8"/>
        <v>-0.55267262942660755</v>
      </c>
      <c r="K48" s="735">
        <f>D48</f>
        <v>45972000</v>
      </c>
      <c r="L48" s="100"/>
    </row>
    <row r="49" spans="1:12" ht="12.75" customHeight="1" x14ac:dyDescent="0.2">
      <c r="A49" s="416" t="s">
        <v>111</v>
      </c>
      <c r="B49" s="419"/>
      <c r="C49" s="735"/>
      <c r="D49" s="753"/>
      <c r="E49" s="733"/>
      <c r="F49" s="733"/>
      <c r="G49" s="733">
        <v>712530.61</v>
      </c>
      <c r="H49" s="733"/>
      <c r="I49" s="44">
        <f t="shared" si="7"/>
        <v>712530.61</v>
      </c>
      <c r="J49" s="330" t="e">
        <f t="shared" si="8"/>
        <v>#DIV/0!</v>
      </c>
      <c r="K49" s="735"/>
      <c r="L49" s="100"/>
    </row>
    <row r="50" spans="1:12" ht="12.75" customHeight="1" x14ac:dyDescent="0.2">
      <c r="A50" s="416" t="s">
        <v>112</v>
      </c>
      <c r="B50" s="419"/>
      <c r="C50" s="735"/>
      <c r="D50" s="753"/>
      <c r="E50" s="733"/>
      <c r="F50" s="733"/>
      <c r="G50" s="733"/>
      <c r="H50" s="733"/>
      <c r="I50" s="44">
        <f t="shared" si="7"/>
        <v>0</v>
      </c>
      <c r="J50" s="330" t="str">
        <f t="shared" si="8"/>
        <v/>
      </c>
      <c r="K50" s="735"/>
      <c r="L50" s="100"/>
    </row>
    <row r="51" spans="1:12" ht="12.75" customHeight="1" x14ac:dyDescent="0.2">
      <c r="A51" s="416" t="s">
        <v>711</v>
      </c>
      <c r="B51" s="419"/>
      <c r="C51" s="735"/>
      <c r="D51" s="753">
        <v>278902092</v>
      </c>
      <c r="E51" s="733"/>
      <c r="F51" s="733"/>
      <c r="G51" s="733"/>
      <c r="H51" s="733">
        <f>D51/12*3</f>
        <v>69725523</v>
      </c>
      <c r="I51" s="44">
        <f t="shared" si="7"/>
        <v>-69725523</v>
      </c>
      <c r="J51" s="330">
        <f t="shared" si="8"/>
        <v>-1</v>
      </c>
      <c r="K51" s="735">
        <f>D51</f>
        <v>278902092</v>
      </c>
      <c r="L51" s="100"/>
    </row>
    <row r="52" spans="1:12" ht="12.75" customHeight="1" x14ac:dyDescent="0.2">
      <c r="A52" s="416" t="s">
        <v>610</v>
      </c>
      <c r="B52" s="419"/>
      <c r="C52" s="754"/>
      <c r="D52" s="755"/>
      <c r="E52" s="756"/>
      <c r="F52" s="756"/>
      <c r="G52" s="756"/>
      <c r="H52" s="756"/>
      <c r="I52" s="44">
        <f t="shared" si="7"/>
        <v>0</v>
      </c>
      <c r="J52" s="330" t="str">
        <f t="shared" si="8"/>
        <v/>
      </c>
      <c r="K52" s="754"/>
      <c r="L52" s="100"/>
    </row>
    <row r="53" spans="1:12" ht="12.75" customHeight="1" x14ac:dyDescent="0.2">
      <c r="A53" s="414" t="s">
        <v>113</v>
      </c>
      <c r="B53" s="419"/>
      <c r="C53" s="641">
        <f t="shared" ref="C53:H53" si="10">SUM(C54:C56)</f>
        <v>0</v>
      </c>
      <c r="D53" s="669">
        <f t="shared" si="10"/>
        <v>104572064</v>
      </c>
      <c r="E53" s="637">
        <f t="shared" si="10"/>
        <v>0</v>
      </c>
      <c r="F53" s="637">
        <f t="shared" si="10"/>
        <v>28305220.759999998</v>
      </c>
      <c r="G53" s="637">
        <f t="shared" si="10"/>
        <v>43422706.269999996</v>
      </c>
      <c r="H53" s="637">
        <f t="shared" si="10"/>
        <v>26143016</v>
      </c>
      <c r="I53" s="44">
        <f t="shared" si="7"/>
        <v>17279690.269999996</v>
      </c>
      <c r="J53" s="330">
        <f t="shared" si="8"/>
        <v>0.66096774258945468</v>
      </c>
      <c r="K53" s="641">
        <f>SUM(K54:K56)</f>
        <v>104572064</v>
      </c>
      <c r="L53" s="100"/>
    </row>
    <row r="54" spans="1:12" ht="12.75" customHeight="1" x14ac:dyDescent="0.2">
      <c r="A54" s="416" t="s">
        <v>114</v>
      </c>
      <c r="B54" s="419"/>
      <c r="C54" s="735"/>
      <c r="D54" s="753">
        <v>13936064</v>
      </c>
      <c r="E54" s="733"/>
      <c r="F54" s="733">
        <v>11857889.15</v>
      </c>
      <c r="G54" s="733">
        <v>17276017.300000001</v>
      </c>
      <c r="H54" s="733">
        <f t="shared" ref="H54:H55" si="11">D54/12*3</f>
        <v>3484016</v>
      </c>
      <c r="I54" s="44">
        <f t="shared" si="7"/>
        <v>13792001.300000001</v>
      </c>
      <c r="J54" s="330">
        <f t="shared" si="8"/>
        <v>3.9586503908133603</v>
      </c>
      <c r="K54" s="735">
        <f>D54</f>
        <v>13936064</v>
      </c>
      <c r="L54" s="100"/>
    </row>
    <row r="55" spans="1:12" ht="12.75" customHeight="1" x14ac:dyDescent="0.2">
      <c r="A55" s="416" t="s">
        <v>115</v>
      </c>
      <c r="B55" s="419"/>
      <c r="C55" s="735"/>
      <c r="D55" s="753">
        <v>90636000</v>
      </c>
      <c r="E55" s="733"/>
      <c r="F55" s="733">
        <v>16447331.609999999</v>
      </c>
      <c r="G55" s="733">
        <v>26146688.969999999</v>
      </c>
      <c r="H55" s="733">
        <f t="shared" si="11"/>
        <v>22659000</v>
      </c>
      <c r="I55" s="44">
        <f t="shared" si="7"/>
        <v>3487688.9699999988</v>
      </c>
      <c r="J55" s="330">
        <f t="shared" si="8"/>
        <v>0.15392069244008999</v>
      </c>
      <c r="K55" s="735">
        <f>D55</f>
        <v>90636000</v>
      </c>
      <c r="L55" s="100"/>
    </row>
    <row r="56" spans="1:12" ht="12.75" customHeight="1" x14ac:dyDescent="0.2">
      <c r="A56" s="416" t="s">
        <v>116</v>
      </c>
      <c r="B56" s="419"/>
      <c r="C56" s="735"/>
      <c r="D56" s="753"/>
      <c r="E56" s="733"/>
      <c r="F56" s="733"/>
      <c r="G56" s="733"/>
      <c r="H56" s="733"/>
      <c r="I56" s="44">
        <f t="shared" si="7"/>
        <v>0</v>
      </c>
      <c r="J56" s="330" t="str">
        <f t="shared" si="8"/>
        <v/>
      </c>
      <c r="K56" s="735"/>
      <c r="L56" s="100"/>
    </row>
    <row r="57" spans="1:12" ht="12.75" customHeight="1" x14ac:dyDescent="0.2">
      <c r="A57" s="414" t="s">
        <v>117</v>
      </c>
      <c r="B57" s="419"/>
      <c r="C57" s="641">
        <f t="shared" ref="C57:H57" si="12">SUM(C58:C61)</f>
        <v>0</v>
      </c>
      <c r="D57" s="669">
        <f t="shared" si="12"/>
        <v>103769000</v>
      </c>
      <c r="E57" s="637">
        <f t="shared" si="12"/>
        <v>0</v>
      </c>
      <c r="F57" s="637">
        <f t="shared" si="12"/>
        <v>18746404.559999999</v>
      </c>
      <c r="G57" s="637">
        <f t="shared" si="12"/>
        <v>31225795.619999997</v>
      </c>
      <c r="H57" s="637">
        <f t="shared" si="12"/>
        <v>25942250</v>
      </c>
      <c r="I57" s="44">
        <f t="shared" si="7"/>
        <v>5283545.6199999973</v>
      </c>
      <c r="J57" s="330">
        <f t="shared" si="8"/>
        <v>0.20366566585396398</v>
      </c>
      <c r="K57" s="641">
        <f>SUM(K58:K61)</f>
        <v>103769000</v>
      </c>
      <c r="L57" s="100"/>
    </row>
    <row r="58" spans="1:12" ht="12.75" customHeight="1" x14ac:dyDescent="0.2">
      <c r="A58" s="416" t="s">
        <v>1191</v>
      </c>
      <c r="B58" s="419"/>
      <c r="C58" s="735"/>
      <c r="D58" s="753">
        <v>12500000</v>
      </c>
      <c r="E58" s="733"/>
      <c r="F58" s="733">
        <v>8000000</v>
      </c>
      <c r="G58" s="733">
        <v>8000000</v>
      </c>
      <c r="H58" s="733">
        <f t="shared" ref="H58:H62" si="13">D58/12*3</f>
        <v>3125000</v>
      </c>
      <c r="I58" s="44">
        <f t="shared" si="7"/>
        <v>4875000</v>
      </c>
      <c r="J58" s="330">
        <f t="shared" si="8"/>
        <v>1.56</v>
      </c>
      <c r="K58" s="735">
        <f>D58</f>
        <v>12500000</v>
      </c>
      <c r="L58" s="100"/>
    </row>
    <row r="59" spans="1:12" ht="12.75" customHeight="1" x14ac:dyDescent="0.2">
      <c r="A59" s="416" t="s">
        <v>1195</v>
      </c>
      <c r="B59" s="419"/>
      <c r="C59" s="735"/>
      <c r="D59" s="753">
        <v>59255000</v>
      </c>
      <c r="E59" s="733"/>
      <c r="F59" s="733">
        <v>6092635.6099999994</v>
      </c>
      <c r="G59" s="733">
        <v>10104214.09</v>
      </c>
      <c r="H59" s="733">
        <f t="shared" si="13"/>
        <v>14813750</v>
      </c>
      <c r="I59" s="44">
        <f t="shared" si="7"/>
        <v>-4709535.91</v>
      </c>
      <c r="J59" s="330">
        <f t="shared" si="8"/>
        <v>-0.31791652417517507</v>
      </c>
      <c r="K59" s="735">
        <f>D59</f>
        <v>59255000</v>
      </c>
      <c r="L59" s="100"/>
    </row>
    <row r="60" spans="1:12" ht="12.75" customHeight="1" x14ac:dyDescent="0.2">
      <c r="A60" s="416" t="s">
        <v>118</v>
      </c>
      <c r="B60" s="419"/>
      <c r="C60" s="754"/>
      <c r="D60" s="755">
        <v>27514000</v>
      </c>
      <c r="E60" s="756"/>
      <c r="F60" s="756">
        <v>4653768.95</v>
      </c>
      <c r="G60" s="756">
        <v>13121581.529999999</v>
      </c>
      <c r="H60" s="756">
        <f t="shared" si="13"/>
        <v>6878500</v>
      </c>
      <c r="I60" s="44">
        <f t="shared" si="7"/>
        <v>6243081.5299999993</v>
      </c>
      <c r="J60" s="330">
        <f t="shared" si="8"/>
        <v>0.90762252380606223</v>
      </c>
      <c r="K60" s="754">
        <f>D60</f>
        <v>27514000</v>
      </c>
      <c r="L60" s="100"/>
    </row>
    <row r="61" spans="1:12" ht="12.75" customHeight="1" x14ac:dyDescent="0.2">
      <c r="A61" s="416" t="s">
        <v>119</v>
      </c>
      <c r="B61" s="419"/>
      <c r="C61" s="735"/>
      <c r="D61" s="753">
        <v>4500000</v>
      </c>
      <c r="E61" s="733"/>
      <c r="F61" s="733"/>
      <c r="G61" s="733"/>
      <c r="H61" s="733">
        <f t="shared" si="13"/>
        <v>1125000</v>
      </c>
      <c r="I61" s="44">
        <f t="shared" si="7"/>
        <v>-1125000</v>
      </c>
      <c r="J61" s="330">
        <f t="shared" si="8"/>
        <v>-1</v>
      </c>
      <c r="K61" s="735">
        <f>D61</f>
        <v>4500000</v>
      </c>
      <c r="L61" s="100"/>
    </row>
    <row r="62" spans="1:12" ht="12.75" customHeight="1" x14ac:dyDescent="0.2">
      <c r="A62" s="414" t="s">
        <v>718</v>
      </c>
      <c r="B62" s="419"/>
      <c r="C62" s="735"/>
      <c r="D62" s="753">
        <v>2500000</v>
      </c>
      <c r="E62" s="733"/>
      <c r="F62" s="733">
        <v>362819.25</v>
      </c>
      <c r="G62" s="733">
        <v>-719804.14999999991</v>
      </c>
      <c r="H62" s="733">
        <f t="shared" si="13"/>
        <v>625000</v>
      </c>
      <c r="I62" s="44">
        <f t="shared" si="7"/>
        <v>-1344804.15</v>
      </c>
      <c r="J62" s="330">
        <f t="shared" si="8"/>
        <v>-2.1516866399999999</v>
      </c>
      <c r="K62" s="735">
        <f>D62</f>
        <v>2500000</v>
      </c>
      <c r="L62" s="100"/>
    </row>
    <row r="63" spans="1:12" ht="12.75" customHeight="1" x14ac:dyDescent="0.2">
      <c r="A63" s="537" t="s">
        <v>1213</v>
      </c>
      <c r="B63" s="539">
        <v>3</v>
      </c>
      <c r="C63" s="540">
        <f>C43+C47+C53+C57+C62</f>
        <v>0</v>
      </c>
      <c r="D63" s="541">
        <f t="shared" ref="D63:I63" si="14">D43+D47+D53+D57+D62</f>
        <v>568215156</v>
      </c>
      <c r="E63" s="478">
        <f t="shared" si="14"/>
        <v>0</v>
      </c>
      <c r="F63" s="478">
        <f t="shared" si="14"/>
        <v>51590953.229999997</v>
      </c>
      <c r="G63" s="478">
        <f t="shared" si="14"/>
        <v>80820961.819999993</v>
      </c>
      <c r="H63" s="478">
        <f t="shared" si="14"/>
        <v>142053789</v>
      </c>
      <c r="I63" s="478">
        <f t="shared" si="14"/>
        <v>-61232827.180000007</v>
      </c>
      <c r="J63" s="542">
        <f t="shared" si="8"/>
        <v>-0.43105381145447663</v>
      </c>
      <c r="K63" s="543">
        <f>K43+K47+K53+K57+K62</f>
        <v>568215156</v>
      </c>
      <c r="L63" s="100"/>
    </row>
    <row r="64" spans="1:12" ht="5.0999999999999996" customHeight="1" x14ac:dyDescent="0.2">
      <c r="A64" s="41"/>
      <c r="B64" s="169"/>
      <c r="C64" s="134"/>
      <c r="D64" s="258"/>
      <c r="E64" s="44"/>
      <c r="F64" s="44"/>
      <c r="G64" s="44"/>
      <c r="H64" s="44"/>
      <c r="I64" s="44"/>
      <c r="J64" s="330"/>
      <c r="K64" s="144"/>
      <c r="L64" s="100"/>
    </row>
    <row r="65" spans="1:12" ht="12.75" customHeight="1" x14ac:dyDescent="0.2">
      <c r="A65" s="35" t="s">
        <v>471</v>
      </c>
      <c r="B65" s="169"/>
      <c r="C65" s="134"/>
      <c r="D65" s="258"/>
      <c r="E65" s="44"/>
      <c r="F65" s="44"/>
      <c r="G65" s="44"/>
      <c r="H65" s="44"/>
      <c r="I65" s="44"/>
      <c r="J65" s="330"/>
      <c r="K65" s="144"/>
      <c r="L65" s="100"/>
    </row>
    <row r="66" spans="1:12" ht="12.75" customHeight="1" x14ac:dyDescent="0.2">
      <c r="A66" s="107" t="s">
        <v>444</v>
      </c>
      <c r="B66" s="169"/>
      <c r="C66" s="748"/>
      <c r="D66" s="753">
        <v>255267424.99999985</v>
      </c>
      <c r="E66" s="733"/>
      <c r="F66" s="733">
        <v>28227588.030000001</v>
      </c>
      <c r="G66" s="733">
        <v>52222457.700000003</v>
      </c>
      <c r="H66" s="733">
        <f t="shared" ref="H66:H67" si="15">D66/12*3</f>
        <v>63816856.249999955</v>
      </c>
      <c r="I66" s="44">
        <f t="shared" ref="I66:I74" si="16">G66-H66</f>
        <v>-11594398.549999952</v>
      </c>
      <c r="J66" s="330">
        <f t="shared" ref="J66:J74" si="17">IF(I66=0,"",I66/H66)</f>
        <v>-0.18168238348469196</v>
      </c>
      <c r="K66" s="735">
        <f>D66</f>
        <v>255267424.99999985</v>
      </c>
      <c r="L66" s="100"/>
    </row>
    <row r="67" spans="1:12" ht="12.75" customHeight="1" x14ac:dyDescent="0.2">
      <c r="A67" s="107" t="s">
        <v>603</v>
      </c>
      <c r="B67" s="169"/>
      <c r="C67" s="748"/>
      <c r="D67" s="753">
        <v>270624156</v>
      </c>
      <c r="E67" s="733"/>
      <c r="F67" s="733">
        <v>15363365.15</v>
      </c>
      <c r="G67" s="733">
        <v>19559933.710000001</v>
      </c>
      <c r="H67" s="733">
        <f t="shared" si="15"/>
        <v>67656039</v>
      </c>
      <c r="I67" s="44">
        <f t="shared" si="16"/>
        <v>-48096105.289999999</v>
      </c>
      <c r="J67" s="330">
        <f t="shared" si="17"/>
        <v>-0.71089153312685061</v>
      </c>
      <c r="K67" s="735">
        <f>D67</f>
        <v>270624156</v>
      </c>
      <c r="L67" s="100"/>
    </row>
    <row r="68" spans="1:12" ht="12.75" customHeight="1" x14ac:dyDescent="0.2">
      <c r="A68" s="107" t="s">
        <v>604</v>
      </c>
      <c r="B68" s="169"/>
      <c r="C68" s="748"/>
      <c r="D68" s="753"/>
      <c r="E68" s="733"/>
      <c r="F68" s="733"/>
      <c r="G68" s="733"/>
      <c r="H68" s="733">
        <f t="shared" ref="H68:H69" si="18">D68/12*2</f>
        <v>0</v>
      </c>
      <c r="I68" s="44">
        <f t="shared" si="16"/>
        <v>0</v>
      </c>
      <c r="J68" s="330" t="str">
        <f t="shared" si="17"/>
        <v/>
      </c>
      <c r="K68" s="735"/>
      <c r="L68" s="100"/>
    </row>
    <row r="69" spans="1:12" ht="43.2" customHeight="1" x14ac:dyDescent="0.2">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f t="shared" si="18"/>
        <v>0</v>
      </c>
      <c r="I69" s="99">
        <f t="shared" si="16"/>
        <v>0</v>
      </c>
      <c r="J69" s="335" t="str">
        <f t="shared" si="17"/>
        <v/>
      </c>
      <c r="K69" s="752"/>
      <c r="L69" s="100"/>
    </row>
    <row r="70" spans="1:12" ht="12.75" customHeight="1" x14ac:dyDescent="0.2">
      <c r="A70" s="692" t="s">
        <v>959</v>
      </c>
      <c r="B70" s="169"/>
      <c r="C70" s="109">
        <f t="shared" ref="C70:H70" si="19">SUM(C66:C69)</f>
        <v>0</v>
      </c>
      <c r="D70" s="259">
        <f t="shared" si="19"/>
        <v>525891580.99999988</v>
      </c>
      <c r="E70" s="50">
        <f t="shared" si="19"/>
        <v>0</v>
      </c>
      <c r="F70" s="50">
        <f t="shared" si="19"/>
        <v>43590953.18</v>
      </c>
      <c r="G70" s="50">
        <f t="shared" si="19"/>
        <v>71782391.409999996</v>
      </c>
      <c r="H70" s="50">
        <f t="shared" si="19"/>
        <v>131472895.24999996</v>
      </c>
      <c r="I70" s="50">
        <f t="shared" si="16"/>
        <v>-59690503.839999959</v>
      </c>
      <c r="J70" s="146">
        <f t="shared" si="17"/>
        <v>-0.45401376250592596</v>
      </c>
      <c r="K70" s="50">
        <f>SUM(K66:K69)</f>
        <v>525891580.99999988</v>
      </c>
      <c r="L70" s="698"/>
    </row>
    <row r="71" spans="1:12" ht="0.9" customHeight="1" x14ac:dyDescent="0.2">
      <c r="A71" s="106"/>
      <c r="B71" s="169"/>
      <c r="C71" s="648"/>
      <c r="D71" s="670"/>
      <c r="E71" s="408"/>
      <c r="F71" s="408"/>
      <c r="G71" s="408"/>
      <c r="H71" s="408"/>
      <c r="I71" s="408"/>
      <c r="J71" s="947"/>
      <c r="K71" s="642"/>
      <c r="L71" s="100"/>
    </row>
    <row r="72" spans="1:12" ht="12.75" customHeight="1" x14ac:dyDescent="0.2">
      <c r="A72" s="106" t="s">
        <v>779</v>
      </c>
      <c r="B72" s="169">
        <v>6</v>
      </c>
      <c r="C72" s="748"/>
      <c r="D72" s="753"/>
      <c r="E72" s="733"/>
      <c r="F72" s="733"/>
      <c r="G72" s="733"/>
      <c r="H72" s="733"/>
      <c r="I72" s="44">
        <f t="shared" si="16"/>
        <v>0</v>
      </c>
      <c r="J72" s="330" t="str">
        <f t="shared" si="17"/>
        <v/>
      </c>
      <c r="K72" s="735"/>
      <c r="L72" s="100"/>
    </row>
    <row r="73" spans="1:12" ht="12.75" customHeight="1" x14ac:dyDescent="0.2">
      <c r="A73" s="106" t="s">
        <v>472</v>
      </c>
      <c r="B73" s="248"/>
      <c r="C73" s="749"/>
      <c r="D73" s="757">
        <v>55000000</v>
      </c>
      <c r="E73" s="751"/>
      <c r="F73" s="751">
        <v>8000000.0500000045</v>
      </c>
      <c r="G73" s="751">
        <v>9038600.0500000119</v>
      </c>
      <c r="H73" s="751">
        <f>D73/12*3</f>
        <v>13750000</v>
      </c>
      <c r="I73" s="99">
        <f t="shared" si="16"/>
        <v>-4711399.9499999881</v>
      </c>
      <c r="J73" s="335">
        <f t="shared" si="17"/>
        <v>-0.3426472690909082</v>
      </c>
      <c r="K73" s="752">
        <f>D73</f>
        <v>55000000</v>
      </c>
      <c r="L73" s="100"/>
    </row>
    <row r="74" spans="1:12" ht="12.75" customHeight="1" x14ac:dyDescent="0.2">
      <c r="A74" s="538" t="s">
        <v>892</v>
      </c>
      <c r="B74" s="119"/>
      <c r="C74" s="244">
        <f t="shared" ref="C74:H74" si="20">+C70+C72+C73</f>
        <v>0</v>
      </c>
      <c r="D74" s="265">
        <f t="shared" si="20"/>
        <v>580891580.99999988</v>
      </c>
      <c r="E74" s="76">
        <f t="shared" si="20"/>
        <v>0</v>
      </c>
      <c r="F74" s="76">
        <f t="shared" si="20"/>
        <v>51590953.230000004</v>
      </c>
      <c r="G74" s="76">
        <f t="shared" si="20"/>
        <v>80820991.460000008</v>
      </c>
      <c r="H74" s="76">
        <f t="shared" si="20"/>
        <v>145222895.24999994</v>
      </c>
      <c r="I74" s="76">
        <f t="shared" si="16"/>
        <v>-64401903.789999932</v>
      </c>
      <c r="J74" s="333">
        <f t="shared" si="17"/>
        <v>-0.44346935570408935</v>
      </c>
      <c r="K74" s="234">
        <f>+K70+K72+K73</f>
        <v>580891580.99999988</v>
      </c>
      <c r="L74" s="100"/>
    </row>
    <row r="75" spans="1:12" ht="11.25" customHeight="1" x14ac:dyDescent="0.2">
      <c r="A75" s="57" t="str">
        <f>head27a</f>
        <v>References</v>
      </c>
      <c r="B75" s="64"/>
      <c r="C75" s="79"/>
      <c r="D75" s="79"/>
      <c r="E75" s="79"/>
      <c r="F75" s="79"/>
      <c r="G75" s="79"/>
      <c r="H75" s="79"/>
      <c r="I75" s="79"/>
      <c r="J75" s="79"/>
      <c r="K75" s="79"/>
    </row>
    <row r="76" spans="1:12" ht="12" customHeight="1" x14ac:dyDescent="0.2">
      <c r="A76" s="584" t="s">
        <v>144</v>
      </c>
      <c r="B76" s="64"/>
      <c r="C76" s="79"/>
      <c r="D76" s="79"/>
      <c r="E76" s="79"/>
      <c r="F76" s="79"/>
      <c r="G76" s="79"/>
      <c r="H76" s="79"/>
      <c r="I76" s="79"/>
      <c r="J76" s="79"/>
      <c r="K76" s="79"/>
    </row>
    <row r="77" spans="1:12" ht="12" customHeight="1" x14ac:dyDescent="0.2">
      <c r="A77" s="1054" t="s">
        <v>143</v>
      </c>
      <c r="B77" s="1054"/>
      <c r="C77" s="1054"/>
      <c r="D77" s="1054"/>
      <c r="E77" s="1054"/>
      <c r="F77" s="1054"/>
      <c r="G77" s="1054"/>
      <c r="H77" s="1054"/>
      <c r="I77" s="1054"/>
      <c r="J77" s="1054"/>
      <c r="K77" s="1054"/>
    </row>
    <row r="78" spans="1:12" ht="12" customHeight="1" x14ac:dyDescent="0.2">
      <c r="A78" s="1054" t="s">
        <v>1215</v>
      </c>
      <c r="B78" s="1054"/>
      <c r="C78" s="1054"/>
      <c r="D78" s="1054"/>
      <c r="E78" s="1054"/>
      <c r="F78" s="1054"/>
      <c r="G78" s="1054"/>
      <c r="H78" s="1054"/>
      <c r="I78" s="1054"/>
      <c r="J78" s="1054"/>
      <c r="K78" s="1054"/>
    </row>
    <row r="79" spans="1:12" ht="12" customHeight="1" x14ac:dyDescent="0.2">
      <c r="A79" s="1055" t="s">
        <v>524</v>
      </c>
      <c r="B79" s="1054"/>
      <c r="C79" s="1054"/>
      <c r="D79" s="1054"/>
      <c r="E79" s="1054"/>
      <c r="F79" s="1054"/>
      <c r="G79" s="1054"/>
      <c r="H79" s="1054"/>
      <c r="I79" s="1054"/>
      <c r="J79" s="1054"/>
      <c r="K79" s="1054"/>
    </row>
    <row r="80" spans="1:12" ht="12" customHeight="1" x14ac:dyDescent="0.2">
      <c r="A80" s="584"/>
      <c r="B80" s="23"/>
      <c r="C80" s="23"/>
      <c r="D80" s="23"/>
      <c r="E80" s="23"/>
      <c r="F80" s="23"/>
      <c r="G80" s="23"/>
      <c r="H80" s="23"/>
      <c r="I80" s="23"/>
      <c r="J80" s="23"/>
      <c r="K80" s="23"/>
    </row>
    <row r="81" spans="1:11" ht="12" customHeight="1" x14ac:dyDescent="0.2">
      <c r="A81" s="584" t="s">
        <v>71</v>
      </c>
      <c r="B81" s="23"/>
      <c r="C81" s="23"/>
      <c r="D81" s="23"/>
      <c r="E81" s="23"/>
      <c r="F81" s="23"/>
      <c r="G81" s="23"/>
      <c r="H81" s="23"/>
      <c r="I81" s="23"/>
      <c r="J81" s="23"/>
      <c r="K81" s="23"/>
    </row>
    <row r="82" spans="1:11" ht="11.25" customHeight="1" x14ac:dyDescent="0.2">
      <c r="A82" s="80"/>
      <c r="B82" s="64"/>
      <c r="C82" s="79"/>
      <c r="D82" s="79"/>
      <c r="E82" s="79"/>
      <c r="F82" s="79"/>
      <c r="G82" s="79"/>
      <c r="H82" s="79"/>
      <c r="I82" s="79"/>
      <c r="J82" s="79"/>
      <c r="K82" s="79"/>
    </row>
    <row r="83" spans="1:11" ht="11.25" customHeight="1" x14ac:dyDescent="0.2">
      <c r="B83" s="25"/>
    </row>
    <row r="84" spans="1:11" ht="11.25" customHeight="1" x14ac:dyDescent="0.2">
      <c r="A84" s="89"/>
      <c r="B84" s="58"/>
      <c r="C84" s="90"/>
      <c r="D84" s="90"/>
      <c r="E84" s="90"/>
      <c r="F84" s="90"/>
      <c r="G84" s="90"/>
      <c r="H84" s="90"/>
      <c r="I84" s="90"/>
      <c r="J84" s="90"/>
      <c r="K84" s="90"/>
    </row>
    <row r="85" spans="1:11" ht="11.25" customHeight="1" x14ac:dyDescent="0.2">
      <c r="A85" s="89"/>
      <c r="B85" s="58"/>
      <c r="C85" s="90"/>
      <c r="D85" s="90"/>
      <c r="E85" s="90"/>
      <c r="F85" s="90"/>
      <c r="G85" s="90"/>
      <c r="H85" s="90"/>
      <c r="I85" s="90"/>
      <c r="J85" s="90"/>
      <c r="K85" s="90"/>
    </row>
    <row r="86" spans="1:11" ht="11.25" customHeight="1" x14ac:dyDescent="0.2">
      <c r="A86" s="81" t="s">
        <v>720</v>
      </c>
      <c r="B86" s="64"/>
      <c r="C86" s="693">
        <f>C40-C74</f>
        <v>0</v>
      </c>
      <c r="D86" s="693">
        <f t="shared" ref="D86:K86" si="21">D40-D74</f>
        <v>0</v>
      </c>
      <c r="E86" s="693">
        <f t="shared" si="21"/>
        <v>0</v>
      </c>
      <c r="F86" s="693">
        <f t="shared" si="21"/>
        <v>0</v>
      </c>
      <c r="G86" s="693">
        <f t="shared" si="21"/>
        <v>0</v>
      </c>
      <c r="H86" s="693">
        <f t="shared" si="21"/>
        <v>0</v>
      </c>
      <c r="I86" s="693"/>
      <c r="J86" s="693"/>
      <c r="K86" s="693">
        <f t="shared" si="21"/>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85" activePane="bottomRight" state="frozen"/>
      <selection pane="topRight"/>
      <selection pane="bottomLeft"/>
      <selection pane="bottomRight" activeCell="F197" sqref="F197:G197"/>
    </sheetView>
  </sheetViews>
  <sheetFormatPr defaultColWidth="9.109375" defaultRowHeight="10.199999999999999" x14ac:dyDescent="0.2"/>
  <cols>
    <col min="1" max="1" width="31.88671875" style="25" customWidth="1"/>
    <col min="2" max="2" width="3" style="494" customWidth="1"/>
    <col min="3" max="11" width="9.33203125" style="25" customWidth="1"/>
    <col min="12" max="23" width="0" style="25" hidden="1" customWidth="1"/>
    <col min="24" max="16384" width="9.109375" style="25"/>
  </cols>
  <sheetData>
    <row r="1" spans="1:23" ht="15" customHeight="1" x14ac:dyDescent="0.3">
      <c r="A1" s="1044" t="str">
        <f>muni&amp; " - "&amp;S71D&amp; " - "&amp;"A"&amp; " - "&amp;date</f>
        <v>KZN225 Msunduzi - Table C5 Consolidated Monthly Budget Statement - Capital Expenditure (municipal vote, functional classification and funding  - A - Q1 First Quarter</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
      <c r="A7" s="466" t="str">
        <f>'Org structure'!A2</f>
        <v>Vote 1 - City Manager</v>
      </c>
      <c r="B7" s="440"/>
      <c r="C7" s="503">
        <f t="shared" ref="C7:H7" si="0">SUM(C8:C11)</f>
        <v>0</v>
      </c>
      <c r="D7" s="444">
        <f t="shared" si="0"/>
        <v>3800000</v>
      </c>
      <c r="E7" s="441">
        <f t="shared" si="0"/>
        <v>0</v>
      </c>
      <c r="F7" s="443">
        <f t="shared" si="0"/>
        <v>0</v>
      </c>
      <c r="G7" s="441">
        <f t="shared" si="0"/>
        <v>0</v>
      </c>
      <c r="H7" s="443">
        <f t="shared" si="0"/>
        <v>950000</v>
      </c>
      <c r="I7" s="50">
        <f t="shared" ref="I7:I43" si="1">G7-H7</f>
        <v>-950000</v>
      </c>
      <c r="J7" s="146">
        <f t="shared" ref="J7:J43" si="2">IF(I7=0,"",I7/H7)</f>
        <v>-1</v>
      </c>
      <c r="K7" s="442">
        <f>SUM(K8:K11)</f>
        <v>3800000</v>
      </c>
      <c r="L7" s="424"/>
      <c r="M7" s="38"/>
      <c r="N7" s="38"/>
      <c r="O7" s="38"/>
      <c r="P7" s="38"/>
      <c r="Q7" s="38"/>
      <c r="R7" s="38"/>
      <c r="S7" s="38"/>
      <c r="T7" s="38"/>
      <c r="U7" s="38"/>
      <c r="V7" s="38"/>
      <c r="W7" s="38"/>
    </row>
    <row r="8" spans="1:23" ht="11.25" customHeight="1" x14ac:dyDescent="0.2">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
      <c r="A9" s="407" t="str">
        <f>'Org structure'!E4</f>
        <v>1.2 - Office of the City Manager</v>
      </c>
      <c r="B9" s="445"/>
      <c r="C9" s="739"/>
      <c r="D9" s="740">
        <v>3800000</v>
      </c>
      <c r="E9" s="741"/>
      <c r="F9" s="742"/>
      <c r="G9" s="741"/>
      <c r="H9" s="742">
        <f>D9/12*3</f>
        <v>950000</v>
      </c>
      <c r="I9" s="44">
        <f t="shared" si="1"/>
        <v>-950000</v>
      </c>
      <c r="J9" s="330">
        <f t="shared" si="2"/>
        <v>-1</v>
      </c>
      <c r="K9" s="743">
        <f>D9</f>
        <v>3800000</v>
      </c>
      <c r="L9" s="424"/>
      <c r="M9" s="38"/>
      <c r="N9" s="38"/>
      <c r="O9" s="38"/>
      <c r="P9" s="38"/>
      <c r="Q9" s="38"/>
      <c r="R9" s="38"/>
      <c r="S9" s="38"/>
      <c r="T9" s="38"/>
      <c r="U9" s="38"/>
      <c r="V9" s="38"/>
      <c r="W9" s="38"/>
    </row>
    <row r="10" spans="1:23" ht="11.25" customHeight="1" x14ac:dyDescent="0.2">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
      <c r="A12" s="466" t="str">
        <f>'Org structure'!A3</f>
        <v>Vote 2 - City Finance</v>
      </c>
      <c r="B12" s="440"/>
      <c r="C12" s="503">
        <f t="shared" ref="C12:H12" si="3">SUM(C13:C17)</f>
        <v>0</v>
      </c>
      <c r="D12" s="444">
        <f t="shared" si="3"/>
        <v>12500000</v>
      </c>
      <c r="E12" s="441">
        <f t="shared" si="3"/>
        <v>0</v>
      </c>
      <c r="F12" s="443">
        <f t="shared" si="3"/>
        <v>0</v>
      </c>
      <c r="G12" s="441">
        <f t="shared" si="3"/>
        <v>0</v>
      </c>
      <c r="H12" s="443">
        <f t="shared" si="3"/>
        <v>3125000</v>
      </c>
      <c r="I12" s="44">
        <f t="shared" si="1"/>
        <v>-3125000</v>
      </c>
      <c r="J12" s="330">
        <f t="shared" si="2"/>
        <v>-1</v>
      </c>
      <c r="K12" s="442">
        <f>SUM(K13:K17)</f>
        <v>12500000</v>
      </c>
      <c r="L12" s="424"/>
      <c r="M12" s="38"/>
      <c r="N12" s="38"/>
      <c r="O12" s="38"/>
      <c r="P12" s="38"/>
      <c r="Q12" s="38"/>
      <c r="R12" s="38"/>
      <c r="S12" s="38"/>
      <c r="T12" s="38"/>
      <c r="U12" s="38"/>
      <c r="V12" s="38"/>
      <c r="W12" s="38"/>
    </row>
    <row r="13" spans="1:23" ht="11.25" customHeight="1" x14ac:dyDescent="0.2">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
      <c r="A14" s="407" t="str">
        <f>'Org structure'!E15</f>
        <v>2.2 - Budget and Treasury Management</v>
      </c>
      <c r="B14" s="445"/>
      <c r="C14" s="739"/>
      <c r="D14" s="740">
        <v>12500000</v>
      </c>
      <c r="E14" s="741"/>
      <c r="F14" s="742"/>
      <c r="G14" s="741"/>
      <c r="H14" s="742">
        <f>D14/12*3</f>
        <v>3125000</v>
      </c>
      <c r="I14" s="44">
        <f t="shared" si="1"/>
        <v>-3125000</v>
      </c>
      <c r="J14" s="330">
        <f t="shared" si="2"/>
        <v>-1</v>
      </c>
      <c r="K14" s="743">
        <f>D14</f>
        <v>12500000</v>
      </c>
      <c r="L14" s="424"/>
      <c r="M14" s="38"/>
      <c r="N14" s="38"/>
      <c r="O14" s="38"/>
      <c r="P14" s="38"/>
      <c r="Q14" s="38"/>
      <c r="R14" s="38"/>
      <c r="S14" s="38"/>
      <c r="T14" s="38"/>
      <c r="U14" s="38"/>
      <c r="V14" s="38"/>
      <c r="W14" s="38"/>
    </row>
    <row r="15" spans="1:23" ht="11.25" customHeight="1" x14ac:dyDescent="0.2">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
      <c r="A18" s="466" t="str">
        <f>'Org structure'!A4</f>
        <v>Vote 3 - Community Services and Social Equity</v>
      </c>
      <c r="B18" s="440"/>
      <c r="C18" s="503">
        <f t="shared" ref="C18:H18" si="4">SUM(C19:C22)</f>
        <v>0</v>
      </c>
      <c r="D18" s="444">
        <f t="shared" si="4"/>
        <v>23812425</v>
      </c>
      <c r="E18" s="441">
        <f t="shared" si="4"/>
        <v>0</v>
      </c>
      <c r="F18" s="443">
        <f t="shared" si="4"/>
        <v>1299121.26</v>
      </c>
      <c r="G18" s="441">
        <f t="shared" si="4"/>
        <v>2295742.15</v>
      </c>
      <c r="H18" s="443">
        <f t="shared" si="4"/>
        <v>5953106.25</v>
      </c>
      <c r="I18" s="44">
        <f t="shared" si="1"/>
        <v>-3657364.1</v>
      </c>
      <c r="J18" s="330">
        <f t="shared" si="2"/>
        <v>-0.6143623087526785</v>
      </c>
      <c r="K18" s="442">
        <f>SUM(K19:K22)</f>
        <v>23812425</v>
      </c>
      <c r="L18" s="424"/>
      <c r="M18" s="38"/>
      <c r="N18" s="38"/>
      <c r="O18" s="38"/>
      <c r="P18" s="38"/>
      <c r="Q18" s="38"/>
      <c r="R18" s="38"/>
      <c r="S18" s="38"/>
      <c r="T18" s="38"/>
      <c r="U18" s="38"/>
      <c r="V18" s="38"/>
      <c r="W18" s="38"/>
    </row>
    <row r="19" spans="1:23" ht="11.25" customHeight="1" x14ac:dyDescent="0.2">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
      <c r="A20" s="407" t="str">
        <f>'Org structure'!E26</f>
        <v>3.2 - Public Safety, Emergency Services and Enforcement</v>
      </c>
      <c r="B20" s="445"/>
      <c r="C20" s="739"/>
      <c r="D20" s="740"/>
      <c r="E20" s="741"/>
      <c r="F20" s="742"/>
      <c r="G20" s="741"/>
      <c r="H20" s="742"/>
      <c r="I20" s="44">
        <f t="shared" si="1"/>
        <v>0</v>
      </c>
      <c r="J20" s="330" t="str">
        <f t="shared" si="2"/>
        <v/>
      </c>
      <c r="K20" s="743">
        <f>D20</f>
        <v>0</v>
      </c>
      <c r="L20" s="424"/>
      <c r="M20" s="38"/>
      <c r="N20" s="38"/>
      <c r="O20" s="38"/>
      <c r="P20" s="38"/>
      <c r="Q20" s="38"/>
      <c r="R20" s="38"/>
      <c r="S20" s="38"/>
      <c r="T20" s="38"/>
      <c r="U20" s="38"/>
      <c r="V20" s="38"/>
      <c r="W20" s="38"/>
    </row>
    <row r="21" spans="1:23" ht="11.25" customHeight="1" x14ac:dyDescent="0.2">
      <c r="A21" s="407" t="str">
        <f>'Org structure'!E27</f>
        <v>3.3 - Recreation and Facilities</v>
      </c>
      <c r="B21" s="445"/>
      <c r="C21" s="739"/>
      <c r="D21" s="740">
        <v>7000000</v>
      </c>
      <c r="E21" s="741"/>
      <c r="F21" s="742">
        <v>1299121.26</v>
      </c>
      <c r="G21" s="741">
        <v>2295742.15</v>
      </c>
      <c r="H21" s="742">
        <f t="shared" ref="H21:H22" si="5">D21/12*3</f>
        <v>1750000</v>
      </c>
      <c r="I21" s="44">
        <f t="shared" si="1"/>
        <v>545742.14999999991</v>
      </c>
      <c r="J21" s="330">
        <f t="shared" si="2"/>
        <v>0.31185265714285709</v>
      </c>
      <c r="K21" s="743">
        <f>D21</f>
        <v>7000000</v>
      </c>
      <c r="L21" s="424"/>
      <c r="M21" s="38"/>
      <c r="N21" s="38"/>
      <c r="O21" s="38"/>
      <c r="P21" s="38"/>
      <c r="Q21" s="38"/>
      <c r="R21" s="38"/>
      <c r="S21" s="38"/>
      <c r="T21" s="38"/>
      <c r="U21" s="38"/>
      <c r="V21" s="38"/>
      <c r="W21" s="38"/>
    </row>
    <row r="22" spans="1:23" ht="11.25" customHeight="1" x14ac:dyDescent="0.2">
      <c r="A22" s="407" t="str">
        <f>'Org structure'!E28</f>
        <v>3.4 - Waste Management</v>
      </c>
      <c r="B22" s="445"/>
      <c r="C22" s="739"/>
      <c r="D22" s="740">
        <v>16812425</v>
      </c>
      <c r="E22" s="741"/>
      <c r="F22" s="742"/>
      <c r="G22" s="741"/>
      <c r="H22" s="742">
        <f t="shared" si="5"/>
        <v>4203106.25</v>
      </c>
      <c r="I22" s="44">
        <f t="shared" si="1"/>
        <v>-4203106.25</v>
      </c>
      <c r="J22" s="330">
        <f t="shared" si="2"/>
        <v>-1</v>
      </c>
      <c r="K22" s="743">
        <f>D22</f>
        <v>16812425</v>
      </c>
      <c r="L22" s="424"/>
      <c r="M22" s="38"/>
      <c r="N22" s="38"/>
      <c r="O22" s="38"/>
      <c r="P22" s="38"/>
      <c r="Q22" s="38"/>
      <c r="R22" s="38"/>
      <c r="S22" s="38"/>
      <c r="T22" s="38"/>
      <c r="U22" s="38"/>
      <c r="V22" s="38"/>
      <c r="W22" s="38"/>
    </row>
    <row r="23" spans="1:23" ht="11.25" customHeight="1" x14ac:dyDescent="0.2">
      <c r="A23" s="466" t="str">
        <f>'Org structure'!A5</f>
        <v>Vote 4 - Corporate Services</v>
      </c>
      <c r="B23" s="440"/>
      <c r="C23" s="503">
        <f t="shared" ref="C23:H23" si="6">SUM(C24:C28)</f>
        <v>0</v>
      </c>
      <c r="D23" s="444">
        <f t="shared" si="6"/>
        <v>0</v>
      </c>
      <c r="E23" s="441">
        <f t="shared" si="6"/>
        <v>0</v>
      </c>
      <c r="F23" s="443">
        <f t="shared" si="6"/>
        <v>0</v>
      </c>
      <c r="G23" s="441">
        <f t="shared" si="6"/>
        <v>0</v>
      </c>
      <c r="H23" s="443">
        <f t="shared" si="6"/>
        <v>0</v>
      </c>
      <c r="I23" s="44">
        <f t="shared" si="1"/>
        <v>0</v>
      </c>
      <c r="J23" s="330" t="str">
        <f t="shared" si="2"/>
        <v/>
      </c>
      <c r="K23" s="442">
        <f>SUM(K24:K28)</f>
        <v>0</v>
      </c>
      <c r="L23" s="424"/>
      <c r="M23" s="38"/>
      <c r="N23" s="38"/>
      <c r="O23" s="38"/>
      <c r="P23" s="38"/>
      <c r="Q23" s="38"/>
      <c r="R23" s="38"/>
      <c r="S23" s="38"/>
      <c r="T23" s="38"/>
      <c r="U23" s="38"/>
      <c r="V23" s="38"/>
      <c r="W23" s="38"/>
    </row>
    <row r="24" spans="1:23" ht="11.25" customHeight="1" x14ac:dyDescent="0.2">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
      <c r="A29" s="466" t="str">
        <f>'Org structure'!A6</f>
        <v>Vote 5 - Infrastructure Services</v>
      </c>
      <c r="B29" s="440"/>
      <c r="C29" s="503">
        <f t="shared" ref="C29:H29" si="7">SUM(C30:C34)</f>
        <v>0</v>
      </c>
      <c r="D29" s="444">
        <f t="shared" si="7"/>
        <v>168455000</v>
      </c>
      <c r="E29" s="441">
        <f t="shared" si="7"/>
        <v>0</v>
      </c>
      <c r="F29" s="443">
        <f t="shared" si="7"/>
        <v>19594600.210000001</v>
      </c>
      <c r="G29" s="441">
        <f t="shared" si="7"/>
        <v>19594600.210000001</v>
      </c>
      <c r="H29" s="443">
        <f t="shared" si="7"/>
        <v>42113750</v>
      </c>
      <c r="I29" s="44">
        <f t="shared" si="1"/>
        <v>-22519149.789999999</v>
      </c>
      <c r="J29" s="330">
        <f t="shared" si="2"/>
        <v>-0.53472202760381105</v>
      </c>
      <c r="K29" s="442">
        <f>SUM(K30:K34)</f>
        <v>168455000</v>
      </c>
      <c r="L29" s="424"/>
      <c r="M29" s="38"/>
      <c r="N29" s="38"/>
      <c r="O29" s="38"/>
      <c r="P29" s="38"/>
      <c r="Q29" s="38"/>
      <c r="R29" s="38"/>
      <c r="S29" s="38"/>
      <c r="T29" s="38"/>
      <c r="U29" s="38"/>
      <c r="V29" s="38"/>
      <c r="W29" s="38"/>
    </row>
    <row r="30" spans="1:23" ht="11.25" customHeight="1" x14ac:dyDescent="0.2">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row>
    <row r="31" spans="1:23" ht="11.25" customHeight="1" x14ac:dyDescent="0.2">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
      <c r="A32" s="407" t="str">
        <f>'Org structure'!E49</f>
        <v>5.3 - Roads and Transportation</v>
      </c>
      <c r="B32" s="445"/>
      <c r="C32" s="739"/>
      <c r="D32" s="740">
        <v>55700000</v>
      </c>
      <c r="E32" s="741"/>
      <c r="F32" s="742">
        <v>13501964.6</v>
      </c>
      <c r="G32" s="741">
        <v>13501964.6</v>
      </c>
      <c r="H32" s="742">
        <f t="shared" ref="H32:H33" si="8">D32/12*3</f>
        <v>13925000</v>
      </c>
      <c r="I32" s="44">
        <f t="shared" si="1"/>
        <v>-423035.40000000037</v>
      </c>
      <c r="J32" s="330">
        <f t="shared" si="2"/>
        <v>-3.0379561938958733E-2</v>
      </c>
      <c r="K32" s="743">
        <f>D32</f>
        <v>55700000</v>
      </c>
      <c r="L32" s="424"/>
      <c r="M32" s="38"/>
      <c r="N32" s="38"/>
      <c r="O32" s="38"/>
      <c r="P32" s="38"/>
      <c r="Q32" s="38"/>
      <c r="R32" s="38"/>
      <c r="S32" s="38"/>
      <c r="T32" s="38"/>
      <c r="U32" s="38"/>
      <c r="V32" s="38"/>
      <c r="W32" s="38"/>
    </row>
    <row r="33" spans="1:23" ht="11.25" customHeight="1" x14ac:dyDescent="0.2">
      <c r="A33" s="407" t="str">
        <f>'Org structure'!E50</f>
        <v>5.4 - Water and Sanitation</v>
      </c>
      <c r="B33" s="445"/>
      <c r="C33" s="739"/>
      <c r="D33" s="740">
        <v>112755000</v>
      </c>
      <c r="E33" s="741"/>
      <c r="F33" s="742">
        <v>6092635.6099999994</v>
      </c>
      <c r="G33" s="741">
        <v>6092635.6099999994</v>
      </c>
      <c r="H33" s="742">
        <f t="shared" si="8"/>
        <v>28188750</v>
      </c>
      <c r="I33" s="44">
        <f t="shared" si="1"/>
        <v>-22096114.390000001</v>
      </c>
      <c r="J33" s="330">
        <f t="shared" si="2"/>
        <v>-0.78386286692386153</v>
      </c>
      <c r="K33" s="743">
        <f>D33</f>
        <v>112755000</v>
      </c>
      <c r="L33" s="424"/>
      <c r="M33" s="38"/>
      <c r="N33" s="38"/>
      <c r="O33" s="38"/>
      <c r="P33" s="38"/>
      <c r="Q33" s="38"/>
      <c r="R33" s="38"/>
      <c r="S33" s="38"/>
      <c r="T33" s="38"/>
      <c r="U33" s="38"/>
      <c r="V33" s="38"/>
      <c r="W33" s="38"/>
    </row>
    <row r="34" spans="1:23" ht="11.25" customHeight="1" x14ac:dyDescent="0.2">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
      <c r="A35" s="466" t="str">
        <f>'Org structure'!A7</f>
        <v>Vote 6 - Sustainable Development and City Enterprises</v>
      </c>
      <c r="B35" s="440"/>
      <c r="C35" s="503">
        <f t="shared" ref="C35:H35" si="9">SUM(C36:C45)</f>
        <v>0</v>
      </c>
      <c r="D35" s="444">
        <f t="shared" si="9"/>
        <v>300600156</v>
      </c>
      <c r="E35" s="441">
        <f t="shared" si="9"/>
        <v>0</v>
      </c>
      <c r="F35" s="443">
        <f t="shared" si="9"/>
        <v>11857889.149999999</v>
      </c>
      <c r="G35" s="441">
        <f t="shared" si="9"/>
        <v>17276017.299999997</v>
      </c>
      <c r="H35" s="443">
        <f t="shared" si="9"/>
        <v>75150039</v>
      </c>
      <c r="I35" s="44">
        <f t="shared" si="1"/>
        <v>-57874021.700000003</v>
      </c>
      <c r="J35" s="330">
        <f t="shared" si="2"/>
        <v>-0.77011299621547769</v>
      </c>
      <c r="K35" s="442">
        <f>SUM(K36:K45)</f>
        <v>300600156</v>
      </c>
      <c r="L35" s="424"/>
      <c r="M35" s="38"/>
      <c r="N35" s="38"/>
      <c r="O35" s="38"/>
      <c r="P35" s="38"/>
      <c r="Q35" s="38"/>
      <c r="R35" s="38"/>
      <c r="S35" s="38"/>
      <c r="T35" s="38"/>
      <c r="U35" s="38"/>
      <c r="V35" s="38"/>
      <c r="W35" s="38"/>
    </row>
    <row r="36" spans="1:23" ht="11.25" customHeight="1" x14ac:dyDescent="0.2">
      <c r="A36" s="407" t="str">
        <f>'Org structure'!E58</f>
        <v>6.1 - City Entities</v>
      </c>
      <c r="B36" s="445"/>
      <c r="C36" s="739"/>
      <c r="D36" s="740">
        <v>10212000</v>
      </c>
      <c r="E36" s="741"/>
      <c r="F36" s="742"/>
      <c r="G36" s="741"/>
      <c r="H36" s="742">
        <f t="shared" ref="H36:H38" si="10">D36/12*3</f>
        <v>2553000</v>
      </c>
      <c r="I36" s="44">
        <f t="shared" si="1"/>
        <v>-2553000</v>
      </c>
      <c r="J36" s="330">
        <f t="shared" si="2"/>
        <v>-1</v>
      </c>
      <c r="K36" s="743">
        <f>D36</f>
        <v>10212000</v>
      </c>
      <c r="L36" s="424"/>
      <c r="M36" s="38"/>
      <c r="N36" s="38"/>
      <c r="O36" s="38"/>
      <c r="P36" s="38"/>
      <c r="Q36" s="38"/>
      <c r="R36" s="38"/>
      <c r="S36" s="38"/>
      <c r="T36" s="38"/>
      <c r="U36" s="38"/>
      <c r="V36" s="38"/>
      <c r="W36" s="38"/>
    </row>
    <row r="37" spans="1:23" ht="11.25" customHeight="1" x14ac:dyDescent="0.2">
      <c r="A37" s="407" t="str">
        <f>'Org structure'!E59</f>
        <v>6.2 - Development Services</v>
      </c>
      <c r="B37" s="445"/>
      <c r="C37" s="739"/>
      <c r="D37" s="740">
        <v>35000000</v>
      </c>
      <c r="E37" s="741"/>
      <c r="F37" s="742"/>
      <c r="G37" s="741"/>
      <c r="H37" s="742">
        <f t="shared" si="10"/>
        <v>8750000</v>
      </c>
      <c r="I37" s="44">
        <f t="shared" si="1"/>
        <v>-8750000</v>
      </c>
      <c r="J37" s="330">
        <f t="shared" si="2"/>
        <v>-1</v>
      </c>
      <c r="K37" s="743">
        <f>D37</f>
        <v>35000000</v>
      </c>
      <c r="L37" s="424"/>
      <c r="M37" s="38"/>
      <c r="N37" s="38"/>
      <c r="O37" s="38"/>
      <c r="P37" s="38"/>
      <c r="Q37" s="38"/>
      <c r="R37" s="38"/>
      <c r="S37" s="38"/>
      <c r="T37" s="38"/>
      <c r="U37" s="38"/>
      <c r="V37" s="38"/>
      <c r="W37" s="38"/>
    </row>
    <row r="38" spans="1:23" ht="11.25" customHeight="1" x14ac:dyDescent="0.2">
      <c r="A38" s="407" t="str">
        <f>'Org structure'!E60</f>
        <v>6.3 - Human Settlement Development</v>
      </c>
      <c r="B38" s="445"/>
      <c r="C38" s="739"/>
      <c r="D38" s="740">
        <v>255388156</v>
      </c>
      <c r="E38" s="741"/>
      <c r="F38" s="742">
        <v>11857888.949999999</v>
      </c>
      <c r="G38" s="741">
        <v>11857888.949999999</v>
      </c>
      <c r="H38" s="742">
        <f t="shared" si="10"/>
        <v>63847039</v>
      </c>
      <c r="I38" s="44">
        <f t="shared" si="1"/>
        <v>-51989150.049999997</v>
      </c>
      <c r="J38" s="330">
        <f t="shared" si="2"/>
        <v>-0.81427660333629559</v>
      </c>
      <c r="K38" s="743">
        <f>D38</f>
        <v>255388156</v>
      </c>
      <c r="L38" s="424"/>
      <c r="M38" s="38"/>
      <c r="N38" s="38"/>
      <c r="O38" s="38"/>
      <c r="P38" s="38"/>
      <c r="Q38" s="38"/>
      <c r="R38" s="38"/>
      <c r="S38" s="38"/>
      <c r="T38" s="38"/>
      <c r="U38" s="38"/>
      <c r="V38" s="38"/>
      <c r="W38" s="38"/>
    </row>
    <row r="39" spans="1:23" ht="11.25" customHeight="1" x14ac:dyDescent="0.2">
      <c r="A39" s="407" t="str">
        <f>'Org structure'!E61</f>
        <v>6.4 - Town Planning</v>
      </c>
      <c r="B39" s="445"/>
      <c r="C39" s="739"/>
      <c r="D39" s="740"/>
      <c r="E39" s="741"/>
      <c r="F39" s="742">
        <v>0.19999999999708962</v>
      </c>
      <c r="G39" s="741">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
      <c r="A44" s="407">
        <f>'Org structure'!E66</f>
        <v>0</v>
      </c>
      <c r="B44" s="445"/>
      <c r="C44" s="739"/>
      <c r="D44" s="740"/>
      <c r="E44" s="741"/>
      <c r="F44" s="742"/>
      <c r="G44" s="741"/>
      <c r="H44" s="742"/>
      <c r="I44" s="44">
        <f t="shared" ref="I44:I107" si="11">G44-H44</f>
        <v>0</v>
      </c>
      <c r="J44" s="330" t="str">
        <f t="shared" ref="J44:J107" si="12">IF(I44=0,"",I44/H44)</f>
        <v/>
      </c>
      <c r="K44" s="743"/>
      <c r="L44" s="424"/>
      <c r="M44" s="38"/>
      <c r="N44" s="38"/>
      <c r="O44" s="38"/>
      <c r="P44" s="38"/>
      <c r="Q44" s="38"/>
      <c r="R44" s="38"/>
      <c r="S44" s="38"/>
      <c r="T44" s="38"/>
      <c r="U44" s="38"/>
      <c r="V44" s="38"/>
      <c r="W44" s="38"/>
    </row>
    <row r="45" spans="1:23" ht="11.25" hidden="1" customHeight="1" x14ac:dyDescent="0.2">
      <c r="A45" s="407">
        <f>'Org structure'!E67</f>
        <v>0</v>
      </c>
      <c r="B45" s="445"/>
      <c r="C45" s="739"/>
      <c r="D45" s="740"/>
      <c r="E45" s="741"/>
      <c r="F45" s="742"/>
      <c r="G45" s="741"/>
      <c r="H45" s="742"/>
      <c r="I45" s="44">
        <f t="shared" si="11"/>
        <v>0</v>
      </c>
      <c r="J45" s="330" t="str">
        <f t="shared" si="12"/>
        <v/>
      </c>
      <c r="K45" s="743"/>
      <c r="L45" s="424"/>
      <c r="M45" s="38"/>
      <c r="N45" s="38"/>
      <c r="O45" s="38"/>
      <c r="P45" s="38"/>
      <c r="Q45" s="38"/>
      <c r="R45" s="38"/>
      <c r="S45" s="38"/>
      <c r="T45" s="38"/>
      <c r="U45" s="38"/>
      <c r="V45" s="38"/>
      <c r="W45" s="38"/>
    </row>
    <row r="46" spans="1:23" ht="11.25" hidden="1" customHeight="1" x14ac:dyDescent="0.2">
      <c r="A46" s="466" t="str">
        <f>'Org structure'!A8</f>
        <v>Vote 7 - [NAME OF VOTE 7]</v>
      </c>
      <c r="B46" s="440"/>
      <c r="C46" s="503">
        <f t="shared" ref="C46:K46" si="13">SUM(C47:C56)</f>
        <v>0</v>
      </c>
      <c r="D46" s="444">
        <f t="shared" si="13"/>
        <v>0</v>
      </c>
      <c r="E46" s="441">
        <f t="shared" si="13"/>
        <v>0</v>
      </c>
      <c r="F46" s="443">
        <f t="shared" si="13"/>
        <v>0</v>
      </c>
      <c r="G46" s="441">
        <f t="shared" si="13"/>
        <v>0</v>
      </c>
      <c r="H46" s="443">
        <f t="shared" si="13"/>
        <v>0</v>
      </c>
      <c r="I46" s="44">
        <f t="shared" si="11"/>
        <v>0</v>
      </c>
      <c r="J46" s="330" t="str">
        <f t="shared" si="12"/>
        <v/>
      </c>
      <c r="K46" s="442">
        <f t="shared" si="13"/>
        <v>0</v>
      </c>
      <c r="L46" s="424"/>
      <c r="M46" s="38"/>
      <c r="N46" s="38"/>
      <c r="O46" s="38"/>
      <c r="P46" s="38"/>
      <c r="Q46" s="38"/>
      <c r="R46" s="38"/>
      <c r="S46" s="38"/>
      <c r="T46" s="38"/>
      <c r="U46" s="38"/>
      <c r="V46" s="38"/>
      <c r="W46" s="38"/>
    </row>
    <row r="47" spans="1:23" ht="11.25" hidden="1" customHeight="1" x14ac:dyDescent="0.2">
      <c r="A47" s="407" t="str">
        <f>'Org structure'!E69</f>
        <v>7.1 - [Name of sub-vote]</v>
      </c>
      <c r="B47" s="445"/>
      <c r="C47" s="739"/>
      <c r="D47" s="740"/>
      <c r="E47" s="741"/>
      <c r="F47" s="742"/>
      <c r="G47" s="741"/>
      <c r="H47" s="742"/>
      <c r="I47" s="44">
        <f t="shared" si="11"/>
        <v>0</v>
      </c>
      <c r="J47" s="330" t="str">
        <f t="shared" si="12"/>
        <v/>
      </c>
      <c r="K47" s="743"/>
      <c r="L47" s="424"/>
      <c r="M47" s="38"/>
      <c r="N47" s="38"/>
      <c r="O47" s="38"/>
      <c r="P47" s="38"/>
      <c r="Q47" s="38"/>
      <c r="R47" s="38"/>
      <c r="S47" s="38"/>
      <c r="T47" s="38"/>
      <c r="U47" s="38"/>
      <c r="V47" s="38"/>
      <c r="W47" s="38"/>
    </row>
    <row r="48" spans="1:23" ht="11.25" hidden="1" customHeight="1" x14ac:dyDescent="0.2">
      <c r="A48" s="407">
        <f>'Org structure'!E70</f>
        <v>0</v>
      </c>
      <c r="B48" s="445"/>
      <c r="C48" s="739"/>
      <c r="D48" s="740"/>
      <c r="E48" s="741"/>
      <c r="F48" s="742"/>
      <c r="G48" s="741"/>
      <c r="H48" s="742"/>
      <c r="I48" s="44">
        <f t="shared" si="11"/>
        <v>0</v>
      </c>
      <c r="J48" s="330" t="str">
        <f t="shared" si="12"/>
        <v/>
      </c>
      <c r="K48" s="743"/>
      <c r="L48" s="424"/>
      <c r="M48" s="38"/>
      <c r="N48" s="38"/>
      <c r="O48" s="38"/>
      <c r="P48" s="38"/>
      <c r="Q48" s="38"/>
      <c r="R48" s="38"/>
      <c r="S48" s="38"/>
      <c r="T48" s="38"/>
      <c r="U48" s="38"/>
      <c r="V48" s="38"/>
      <c r="W48" s="38"/>
    </row>
    <row r="49" spans="1:23" ht="11.25" hidden="1" customHeight="1" x14ac:dyDescent="0.2">
      <c r="A49" s="407">
        <f>'Org structure'!E71</f>
        <v>0</v>
      </c>
      <c r="B49" s="445"/>
      <c r="C49" s="739"/>
      <c r="D49" s="740"/>
      <c r="E49" s="741"/>
      <c r="F49" s="742"/>
      <c r="G49" s="741"/>
      <c r="H49" s="742"/>
      <c r="I49" s="44">
        <f t="shared" si="11"/>
        <v>0</v>
      </c>
      <c r="J49" s="330" t="str">
        <f t="shared" si="12"/>
        <v/>
      </c>
      <c r="K49" s="743"/>
      <c r="L49" s="424"/>
      <c r="M49" s="38"/>
      <c r="N49" s="38"/>
      <c r="O49" s="38"/>
      <c r="P49" s="38"/>
      <c r="Q49" s="38"/>
      <c r="R49" s="38"/>
      <c r="S49" s="38"/>
      <c r="T49" s="38"/>
      <c r="U49" s="38"/>
      <c r="V49" s="38"/>
      <c r="W49" s="38"/>
    </row>
    <row r="50" spans="1:23" ht="11.25" hidden="1" customHeight="1" x14ac:dyDescent="0.2">
      <c r="A50" s="407">
        <f>'Org structure'!E72</f>
        <v>0</v>
      </c>
      <c r="B50" s="445"/>
      <c r="C50" s="739"/>
      <c r="D50" s="740"/>
      <c r="E50" s="741"/>
      <c r="F50" s="742"/>
      <c r="G50" s="741"/>
      <c r="H50" s="742"/>
      <c r="I50" s="44">
        <f t="shared" si="11"/>
        <v>0</v>
      </c>
      <c r="J50" s="330" t="str">
        <f t="shared" si="12"/>
        <v/>
      </c>
      <c r="K50" s="743"/>
      <c r="L50" s="424"/>
      <c r="M50" s="38"/>
      <c r="N50" s="38"/>
      <c r="O50" s="38"/>
      <c r="P50" s="38"/>
      <c r="Q50" s="38"/>
      <c r="R50" s="38"/>
      <c r="S50" s="38"/>
      <c r="T50" s="38"/>
      <c r="U50" s="38"/>
      <c r="V50" s="38"/>
      <c r="W50" s="38"/>
    </row>
    <row r="51" spans="1:23" ht="11.25" hidden="1" customHeight="1" x14ac:dyDescent="0.2">
      <c r="A51" s="407">
        <f>'Org structure'!E73</f>
        <v>0</v>
      </c>
      <c r="B51" s="445"/>
      <c r="C51" s="739"/>
      <c r="D51" s="740"/>
      <c r="E51" s="741"/>
      <c r="F51" s="742"/>
      <c r="G51" s="741"/>
      <c r="H51" s="742"/>
      <c r="I51" s="44">
        <f t="shared" si="11"/>
        <v>0</v>
      </c>
      <c r="J51" s="330" t="str">
        <f t="shared" si="12"/>
        <v/>
      </c>
      <c r="K51" s="743"/>
      <c r="L51" s="424"/>
      <c r="M51" s="38"/>
      <c r="N51" s="38"/>
      <c r="O51" s="38"/>
      <c r="P51" s="38"/>
      <c r="Q51" s="38"/>
      <c r="R51" s="38"/>
      <c r="S51" s="38"/>
      <c r="T51" s="38"/>
      <c r="U51" s="38"/>
      <c r="V51" s="38"/>
      <c r="W51" s="38"/>
    </row>
    <row r="52" spans="1:23" ht="11.25" hidden="1" customHeight="1" x14ac:dyDescent="0.2">
      <c r="A52" s="407">
        <f>'Org structure'!E74</f>
        <v>0</v>
      </c>
      <c r="B52" s="445"/>
      <c r="C52" s="739"/>
      <c r="D52" s="740"/>
      <c r="E52" s="741"/>
      <c r="F52" s="742"/>
      <c r="G52" s="741"/>
      <c r="H52" s="742"/>
      <c r="I52" s="44">
        <f t="shared" si="11"/>
        <v>0</v>
      </c>
      <c r="J52" s="330" t="str">
        <f t="shared" si="12"/>
        <v/>
      </c>
      <c r="K52" s="743"/>
      <c r="L52" s="446"/>
      <c r="M52" s="40"/>
      <c r="N52" s="40"/>
      <c r="O52" s="40"/>
      <c r="P52" s="40"/>
      <c r="Q52" s="40"/>
      <c r="R52" s="40"/>
      <c r="S52" s="40"/>
      <c r="T52" s="40"/>
      <c r="U52" s="40"/>
      <c r="V52" s="40"/>
      <c r="W52" s="40"/>
    </row>
    <row r="53" spans="1:23" ht="11.25" hidden="1" customHeight="1" x14ac:dyDescent="0.2">
      <c r="A53" s="407">
        <f>'Org structure'!E75</f>
        <v>0</v>
      </c>
      <c r="B53" s="445"/>
      <c r="C53" s="739"/>
      <c r="D53" s="740"/>
      <c r="E53" s="741"/>
      <c r="F53" s="742"/>
      <c r="G53" s="741"/>
      <c r="H53" s="742"/>
      <c r="I53" s="44">
        <f t="shared" si="11"/>
        <v>0</v>
      </c>
      <c r="J53" s="330" t="str">
        <f t="shared" si="12"/>
        <v/>
      </c>
      <c r="K53" s="743"/>
      <c r="L53" s="446"/>
      <c r="M53" s="40"/>
      <c r="N53" s="40"/>
      <c r="O53" s="40"/>
      <c r="P53" s="40"/>
      <c r="Q53" s="40"/>
      <c r="R53" s="40"/>
      <c r="S53" s="40"/>
      <c r="T53" s="40"/>
      <c r="U53" s="40"/>
      <c r="V53" s="40"/>
      <c r="W53" s="40"/>
    </row>
    <row r="54" spans="1:23" ht="11.25" hidden="1" customHeight="1" x14ac:dyDescent="0.2">
      <c r="A54" s="407">
        <f>'Org structure'!E76</f>
        <v>0</v>
      </c>
      <c r="B54" s="445"/>
      <c r="C54" s="739"/>
      <c r="D54" s="740"/>
      <c r="E54" s="741"/>
      <c r="F54" s="742"/>
      <c r="G54" s="741"/>
      <c r="H54" s="742"/>
      <c r="I54" s="44">
        <f t="shared" si="11"/>
        <v>0</v>
      </c>
      <c r="J54" s="330" t="str">
        <f t="shared" si="12"/>
        <v/>
      </c>
      <c r="K54" s="743"/>
      <c r="L54" s="446"/>
      <c r="M54" s="40"/>
      <c r="N54" s="40"/>
      <c r="O54" s="40"/>
      <c r="P54" s="40"/>
      <c r="Q54" s="40"/>
      <c r="R54" s="40"/>
      <c r="S54" s="40"/>
      <c r="T54" s="40"/>
      <c r="U54" s="40"/>
      <c r="V54" s="40"/>
      <c r="W54" s="40"/>
    </row>
    <row r="55" spans="1:23" ht="11.25" hidden="1" customHeight="1" x14ac:dyDescent="0.2">
      <c r="A55" s="407">
        <f>'Org structure'!E77</f>
        <v>0</v>
      </c>
      <c r="B55" s="445"/>
      <c r="C55" s="739"/>
      <c r="D55" s="740"/>
      <c r="E55" s="741"/>
      <c r="F55" s="742"/>
      <c r="G55" s="741"/>
      <c r="H55" s="742"/>
      <c r="I55" s="44">
        <f t="shared" si="11"/>
        <v>0</v>
      </c>
      <c r="J55" s="330" t="str">
        <f t="shared" si="12"/>
        <v/>
      </c>
      <c r="K55" s="743"/>
      <c r="L55" s="446"/>
      <c r="M55" s="40"/>
      <c r="N55" s="40"/>
      <c r="O55" s="40"/>
      <c r="P55" s="40"/>
      <c r="Q55" s="40"/>
      <c r="R55" s="40"/>
      <c r="S55" s="40"/>
      <c r="T55" s="40"/>
      <c r="U55" s="40"/>
      <c r="V55" s="40"/>
      <c r="W55" s="40"/>
    </row>
    <row r="56" spans="1:23" ht="11.25" hidden="1" customHeight="1" x14ac:dyDescent="0.2">
      <c r="A56" s="407">
        <f>'Org structure'!E78</f>
        <v>0</v>
      </c>
      <c r="B56" s="445"/>
      <c r="C56" s="739"/>
      <c r="D56" s="740"/>
      <c r="E56" s="741"/>
      <c r="F56" s="742"/>
      <c r="G56" s="741"/>
      <c r="H56" s="742"/>
      <c r="I56" s="44">
        <f t="shared" si="11"/>
        <v>0</v>
      </c>
      <c r="J56" s="330" t="str">
        <f t="shared" si="12"/>
        <v/>
      </c>
      <c r="K56" s="743"/>
      <c r="L56" s="446"/>
      <c r="M56" s="40"/>
      <c r="N56" s="40"/>
      <c r="O56" s="40"/>
      <c r="P56" s="40"/>
      <c r="Q56" s="40"/>
      <c r="R56" s="40"/>
      <c r="S56" s="40"/>
      <c r="T56" s="40"/>
      <c r="U56" s="40"/>
      <c r="V56" s="40"/>
      <c r="W56" s="40"/>
    </row>
    <row r="57" spans="1:23" ht="11.25" hidden="1" customHeight="1" x14ac:dyDescent="0.2">
      <c r="A57" s="466" t="str">
        <f>'Org structure'!A9</f>
        <v>Vote 8 - [NAME OF VOTE 8]</v>
      </c>
      <c r="B57" s="445"/>
      <c r="C57" s="503">
        <f>SUM(C58:C67)</f>
        <v>0</v>
      </c>
      <c r="D57" s="444">
        <f t="shared" ref="D57:K57" si="14">SUM(D58:D67)</f>
        <v>0</v>
      </c>
      <c r="E57" s="441">
        <f t="shared" si="14"/>
        <v>0</v>
      </c>
      <c r="F57" s="443">
        <f t="shared" si="14"/>
        <v>0</v>
      </c>
      <c r="G57" s="441">
        <f t="shared" si="14"/>
        <v>0</v>
      </c>
      <c r="H57" s="443">
        <f t="shared" si="14"/>
        <v>0</v>
      </c>
      <c r="I57" s="44">
        <f t="shared" si="11"/>
        <v>0</v>
      </c>
      <c r="J57" s="330" t="str">
        <f t="shared" si="12"/>
        <v/>
      </c>
      <c r="K57" s="442">
        <f t="shared" si="14"/>
        <v>0</v>
      </c>
      <c r="L57" s="446"/>
      <c r="M57" s="40"/>
      <c r="N57" s="40"/>
      <c r="O57" s="40"/>
      <c r="P57" s="40"/>
      <c r="Q57" s="40"/>
      <c r="R57" s="40"/>
      <c r="S57" s="40"/>
      <c r="T57" s="40"/>
      <c r="U57" s="40"/>
      <c r="V57" s="40"/>
      <c r="W57" s="40"/>
    </row>
    <row r="58" spans="1:23" ht="11.25" hidden="1" customHeight="1" x14ac:dyDescent="0.2">
      <c r="A58" s="407" t="str">
        <f>'Org structure'!E80</f>
        <v>8.1 - [Name of sub-vote]</v>
      </c>
      <c r="B58" s="445"/>
      <c r="C58" s="739"/>
      <c r="D58" s="740"/>
      <c r="E58" s="741"/>
      <c r="F58" s="742"/>
      <c r="G58" s="741"/>
      <c r="H58" s="742"/>
      <c r="I58" s="44">
        <f t="shared" si="11"/>
        <v>0</v>
      </c>
      <c r="J58" s="330" t="str">
        <f t="shared" si="12"/>
        <v/>
      </c>
      <c r="K58" s="743"/>
      <c r="L58" s="446"/>
      <c r="M58" s="40"/>
      <c r="N58" s="40"/>
      <c r="O58" s="40"/>
      <c r="P58" s="40"/>
      <c r="Q58" s="40"/>
      <c r="R58" s="40"/>
      <c r="S58" s="40"/>
      <c r="T58" s="40"/>
      <c r="U58" s="40"/>
      <c r="V58" s="40"/>
      <c r="W58" s="40"/>
    </row>
    <row r="59" spans="1:23" ht="11.25" hidden="1" customHeight="1" x14ac:dyDescent="0.2">
      <c r="A59" s="407">
        <f>'Org structure'!E81</f>
        <v>0</v>
      </c>
      <c r="B59" s="445"/>
      <c r="C59" s="739"/>
      <c r="D59" s="740"/>
      <c r="E59" s="741"/>
      <c r="F59" s="742"/>
      <c r="G59" s="741"/>
      <c r="H59" s="742"/>
      <c r="I59" s="44">
        <f t="shared" si="11"/>
        <v>0</v>
      </c>
      <c r="J59" s="330" t="str">
        <f t="shared" si="12"/>
        <v/>
      </c>
      <c r="K59" s="743"/>
      <c r="L59" s="446"/>
      <c r="M59" s="40"/>
      <c r="N59" s="40"/>
      <c r="O59" s="40"/>
      <c r="P59" s="40"/>
      <c r="Q59" s="40"/>
      <c r="R59" s="40"/>
      <c r="S59" s="40"/>
      <c r="T59" s="40"/>
      <c r="U59" s="40"/>
      <c r="V59" s="40"/>
      <c r="W59" s="40"/>
    </row>
    <row r="60" spans="1:23" ht="11.25" hidden="1" customHeight="1" x14ac:dyDescent="0.2">
      <c r="A60" s="407">
        <f>'Org structure'!E82</f>
        <v>0</v>
      </c>
      <c r="B60" s="445"/>
      <c r="C60" s="739"/>
      <c r="D60" s="740"/>
      <c r="E60" s="741"/>
      <c r="F60" s="742"/>
      <c r="G60" s="741"/>
      <c r="H60" s="742"/>
      <c r="I60" s="44">
        <f t="shared" si="11"/>
        <v>0</v>
      </c>
      <c r="J60" s="330" t="str">
        <f t="shared" si="12"/>
        <v/>
      </c>
      <c r="K60" s="743"/>
      <c r="L60" s="446"/>
      <c r="M60" s="40"/>
      <c r="N60" s="40"/>
      <c r="O60" s="40"/>
      <c r="P60" s="40"/>
      <c r="Q60" s="40"/>
      <c r="R60" s="40"/>
      <c r="S60" s="40"/>
      <c r="T60" s="40"/>
      <c r="U60" s="40"/>
      <c r="V60" s="40"/>
      <c r="W60" s="40"/>
    </row>
    <row r="61" spans="1:23" ht="11.25" hidden="1" customHeight="1" x14ac:dyDescent="0.2">
      <c r="A61" s="407">
        <f>'Org structure'!E83</f>
        <v>0</v>
      </c>
      <c r="B61" s="445"/>
      <c r="C61" s="739"/>
      <c r="D61" s="740"/>
      <c r="E61" s="741"/>
      <c r="F61" s="742"/>
      <c r="G61" s="741"/>
      <c r="H61" s="742"/>
      <c r="I61" s="44">
        <f t="shared" si="11"/>
        <v>0</v>
      </c>
      <c r="J61" s="330" t="str">
        <f t="shared" si="12"/>
        <v/>
      </c>
      <c r="K61" s="743"/>
      <c r="L61" s="446"/>
      <c r="M61" s="40"/>
      <c r="N61" s="40"/>
      <c r="O61" s="40"/>
      <c r="P61" s="40"/>
      <c r="Q61" s="40"/>
      <c r="R61" s="40"/>
      <c r="S61" s="40"/>
      <c r="T61" s="40"/>
      <c r="U61" s="40"/>
      <c r="V61" s="40"/>
      <c r="W61" s="40"/>
    </row>
    <row r="62" spans="1:23" ht="11.25" hidden="1" customHeight="1" x14ac:dyDescent="0.2">
      <c r="A62" s="407">
        <f>'Org structure'!E84</f>
        <v>0</v>
      </c>
      <c r="B62" s="445"/>
      <c r="C62" s="739"/>
      <c r="D62" s="740"/>
      <c r="E62" s="741"/>
      <c r="F62" s="742"/>
      <c r="G62" s="741"/>
      <c r="H62" s="742"/>
      <c r="I62" s="44">
        <f t="shared" si="11"/>
        <v>0</v>
      </c>
      <c r="J62" s="330" t="str">
        <f t="shared" si="12"/>
        <v/>
      </c>
      <c r="K62" s="743"/>
      <c r="L62" s="446"/>
      <c r="M62" s="40"/>
      <c r="N62" s="40"/>
      <c r="O62" s="40"/>
      <c r="P62" s="40"/>
      <c r="Q62" s="40"/>
      <c r="R62" s="40"/>
      <c r="S62" s="40"/>
      <c r="T62" s="40"/>
      <c r="U62" s="40"/>
      <c r="V62" s="40"/>
      <c r="W62" s="40"/>
    </row>
    <row r="63" spans="1:23" ht="11.25" hidden="1" customHeight="1" x14ac:dyDescent="0.2">
      <c r="A63" s="407">
        <f>'Org structure'!E85</f>
        <v>0</v>
      </c>
      <c r="B63" s="445"/>
      <c r="C63" s="739"/>
      <c r="D63" s="740"/>
      <c r="E63" s="741"/>
      <c r="F63" s="742"/>
      <c r="G63" s="741"/>
      <c r="H63" s="742"/>
      <c r="I63" s="44">
        <f t="shared" si="11"/>
        <v>0</v>
      </c>
      <c r="J63" s="330" t="str">
        <f t="shared" si="12"/>
        <v/>
      </c>
      <c r="K63" s="743"/>
      <c r="L63" s="446"/>
      <c r="M63" s="40"/>
      <c r="N63" s="40"/>
      <c r="O63" s="40"/>
      <c r="P63" s="40"/>
      <c r="Q63" s="40"/>
      <c r="R63" s="40"/>
      <c r="S63" s="40"/>
      <c r="T63" s="40"/>
      <c r="U63" s="40"/>
      <c r="V63" s="40"/>
      <c r="W63" s="40"/>
    </row>
    <row r="64" spans="1:23" ht="11.25" hidden="1" customHeight="1" x14ac:dyDescent="0.2">
      <c r="A64" s="407">
        <f>'Org structure'!E86</f>
        <v>0</v>
      </c>
      <c r="B64" s="445"/>
      <c r="C64" s="739"/>
      <c r="D64" s="740"/>
      <c r="E64" s="741"/>
      <c r="F64" s="742"/>
      <c r="G64" s="741"/>
      <c r="H64" s="742"/>
      <c r="I64" s="44">
        <f t="shared" si="11"/>
        <v>0</v>
      </c>
      <c r="J64" s="330" t="str">
        <f t="shared" si="12"/>
        <v/>
      </c>
      <c r="K64" s="743"/>
      <c r="L64" s="446"/>
      <c r="M64" s="40"/>
      <c r="N64" s="40"/>
      <c r="O64" s="40"/>
      <c r="P64" s="40"/>
      <c r="Q64" s="40"/>
      <c r="R64" s="40"/>
      <c r="S64" s="40"/>
      <c r="T64" s="40"/>
      <c r="U64" s="40"/>
      <c r="V64" s="40"/>
      <c r="W64" s="40"/>
    </row>
    <row r="65" spans="1:23" ht="11.25" hidden="1" customHeight="1" x14ac:dyDescent="0.2">
      <c r="A65" s="407">
        <f>'Org structure'!E87</f>
        <v>0</v>
      </c>
      <c r="B65" s="445"/>
      <c r="C65" s="739"/>
      <c r="D65" s="740"/>
      <c r="E65" s="741"/>
      <c r="F65" s="742"/>
      <c r="G65" s="741"/>
      <c r="H65" s="742"/>
      <c r="I65" s="44">
        <f t="shared" si="11"/>
        <v>0</v>
      </c>
      <c r="J65" s="330" t="str">
        <f t="shared" si="12"/>
        <v/>
      </c>
      <c r="K65" s="743"/>
      <c r="L65" s="446"/>
      <c r="M65" s="40"/>
      <c r="N65" s="40"/>
      <c r="O65" s="40"/>
      <c r="P65" s="40"/>
      <c r="Q65" s="40"/>
      <c r="R65" s="40"/>
      <c r="S65" s="40"/>
      <c r="T65" s="40"/>
      <c r="U65" s="40"/>
      <c r="V65" s="40"/>
      <c r="W65" s="40"/>
    </row>
    <row r="66" spans="1:23" ht="11.25" hidden="1" customHeight="1" x14ac:dyDescent="0.2">
      <c r="A66" s="407">
        <f>'Org structure'!E88</f>
        <v>0</v>
      </c>
      <c r="B66" s="445"/>
      <c r="C66" s="739"/>
      <c r="D66" s="740"/>
      <c r="E66" s="741"/>
      <c r="F66" s="742"/>
      <c r="G66" s="741"/>
      <c r="H66" s="742"/>
      <c r="I66" s="44">
        <f t="shared" si="11"/>
        <v>0</v>
      </c>
      <c r="J66" s="330" t="str">
        <f t="shared" si="12"/>
        <v/>
      </c>
      <c r="K66" s="743"/>
      <c r="L66" s="446"/>
      <c r="M66" s="40"/>
      <c r="N66" s="40"/>
      <c r="O66" s="40"/>
      <c r="P66" s="40"/>
      <c r="Q66" s="40"/>
      <c r="R66" s="40"/>
      <c r="S66" s="40"/>
      <c r="T66" s="40"/>
      <c r="U66" s="40"/>
      <c r="V66" s="40"/>
      <c r="W66" s="40"/>
    </row>
    <row r="67" spans="1:23" ht="11.25" hidden="1" customHeight="1" x14ac:dyDescent="0.2">
      <c r="A67" s="407">
        <f>'Org structure'!E89</f>
        <v>0</v>
      </c>
      <c r="B67" s="445"/>
      <c r="C67" s="739"/>
      <c r="D67" s="740"/>
      <c r="E67" s="741"/>
      <c r="F67" s="742"/>
      <c r="G67" s="741"/>
      <c r="H67" s="742"/>
      <c r="I67" s="44">
        <f t="shared" si="11"/>
        <v>0</v>
      </c>
      <c r="J67" s="330" t="str">
        <f t="shared" si="12"/>
        <v/>
      </c>
      <c r="K67" s="743"/>
      <c r="L67" s="446"/>
      <c r="M67" s="40"/>
      <c r="N67" s="40"/>
      <c r="O67" s="40"/>
      <c r="P67" s="40"/>
      <c r="Q67" s="40"/>
      <c r="R67" s="40"/>
      <c r="S67" s="40"/>
      <c r="T67" s="40"/>
      <c r="U67" s="40"/>
      <c r="V67" s="40"/>
      <c r="W67" s="40"/>
    </row>
    <row r="68" spans="1:23" ht="11.25" hidden="1" customHeight="1" x14ac:dyDescent="0.2">
      <c r="A68" s="466" t="str">
        <f>'Org structure'!A10</f>
        <v>Vote 9 - [NAME OF VOTE 9]</v>
      </c>
      <c r="B68" s="445"/>
      <c r="C68" s="503">
        <f>SUM(C69:C78)</f>
        <v>0</v>
      </c>
      <c r="D68" s="444">
        <f t="shared" ref="D68:K68" si="15">SUM(D69:D78)</f>
        <v>0</v>
      </c>
      <c r="E68" s="441">
        <f t="shared" si="15"/>
        <v>0</v>
      </c>
      <c r="F68" s="443">
        <f t="shared" si="15"/>
        <v>0</v>
      </c>
      <c r="G68" s="441">
        <f t="shared" si="15"/>
        <v>0</v>
      </c>
      <c r="H68" s="443">
        <f t="shared" si="15"/>
        <v>0</v>
      </c>
      <c r="I68" s="44">
        <f t="shared" si="11"/>
        <v>0</v>
      </c>
      <c r="J68" s="330" t="str">
        <f t="shared" si="12"/>
        <v/>
      </c>
      <c r="K68" s="442">
        <f t="shared" si="15"/>
        <v>0</v>
      </c>
      <c r="L68" s="446"/>
      <c r="M68" s="40"/>
      <c r="N68" s="40"/>
      <c r="O68" s="40"/>
      <c r="P68" s="40"/>
      <c r="Q68" s="40"/>
      <c r="R68" s="40"/>
      <c r="S68" s="40"/>
      <c r="T68" s="40"/>
      <c r="U68" s="40"/>
      <c r="V68" s="40"/>
      <c r="W68" s="40"/>
    </row>
    <row r="69" spans="1:23" ht="11.25" hidden="1" customHeight="1" x14ac:dyDescent="0.2">
      <c r="A69" s="407" t="str">
        <f>'Org structure'!E91</f>
        <v>9.1 - [Name of sub-vote]</v>
      </c>
      <c r="B69" s="445"/>
      <c r="C69" s="739"/>
      <c r="D69" s="740"/>
      <c r="E69" s="741"/>
      <c r="F69" s="742"/>
      <c r="G69" s="741"/>
      <c r="H69" s="742"/>
      <c r="I69" s="44">
        <f t="shared" si="11"/>
        <v>0</v>
      </c>
      <c r="J69" s="330" t="str">
        <f t="shared" si="12"/>
        <v/>
      </c>
      <c r="K69" s="743"/>
      <c r="L69" s="446"/>
      <c r="M69" s="40"/>
      <c r="N69" s="40"/>
      <c r="O69" s="40"/>
      <c r="P69" s="40"/>
      <c r="Q69" s="40"/>
      <c r="R69" s="40"/>
      <c r="S69" s="40"/>
      <c r="T69" s="40"/>
      <c r="U69" s="40"/>
      <c r="V69" s="40"/>
      <c r="W69" s="40"/>
    </row>
    <row r="70" spans="1:23" ht="11.25" hidden="1" customHeight="1" x14ac:dyDescent="0.2">
      <c r="A70" s="407">
        <f>'Org structure'!E92</f>
        <v>0</v>
      </c>
      <c r="B70" s="445"/>
      <c r="C70" s="739"/>
      <c r="D70" s="740"/>
      <c r="E70" s="741"/>
      <c r="F70" s="742"/>
      <c r="G70" s="741"/>
      <c r="H70" s="742"/>
      <c r="I70" s="44">
        <f t="shared" si="11"/>
        <v>0</v>
      </c>
      <c r="J70" s="330" t="str">
        <f t="shared" si="12"/>
        <v/>
      </c>
      <c r="K70" s="743"/>
      <c r="L70" s="446"/>
      <c r="M70" s="40"/>
      <c r="N70" s="40"/>
      <c r="O70" s="40"/>
      <c r="P70" s="40"/>
      <c r="Q70" s="40"/>
      <c r="R70" s="40"/>
      <c r="S70" s="40"/>
      <c r="T70" s="40"/>
      <c r="U70" s="40"/>
      <c r="V70" s="40"/>
      <c r="W70" s="40"/>
    </row>
    <row r="71" spans="1:23" ht="11.25" hidden="1" customHeight="1" x14ac:dyDescent="0.2">
      <c r="A71" s="407">
        <f>'Org structure'!E93</f>
        <v>0</v>
      </c>
      <c r="B71" s="445"/>
      <c r="C71" s="739"/>
      <c r="D71" s="740"/>
      <c r="E71" s="741"/>
      <c r="F71" s="742"/>
      <c r="G71" s="741"/>
      <c r="H71" s="742"/>
      <c r="I71" s="44">
        <f t="shared" si="11"/>
        <v>0</v>
      </c>
      <c r="J71" s="330" t="str">
        <f t="shared" si="12"/>
        <v/>
      </c>
      <c r="K71" s="743"/>
      <c r="L71" s="446"/>
      <c r="M71" s="40"/>
      <c r="N71" s="40"/>
      <c r="O71" s="40"/>
      <c r="P71" s="40"/>
      <c r="Q71" s="40"/>
      <c r="R71" s="40"/>
      <c r="S71" s="40"/>
      <c r="T71" s="40"/>
      <c r="U71" s="40"/>
      <c r="V71" s="40"/>
      <c r="W71" s="40"/>
    </row>
    <row r="72" spans="1:23" ht="11.25" hidden="1" customHeight="1" x14ac:dyDescent="0.2">
      <c r="A72" s="407">
        <f>'Org structure'!E94</f>
        <v>0</v>
      </c>
      <c r="B72" s="445"/>
      <c r="C72" s="739"/>
      <c r="D72" s="740"/>
      <c r="E72" s="741"/>
      <c r="F72" s="742"/>
      <c r="G72" s="741"/>
      <c r="H72" s="742"/>
      <c r="I72" s="44">
        <f t="shared" si="11"/>
        <v>0</v>
      </c>
      <c r="J72" s="330" t="str">
        <f t="shared" si="12"/>
        <v/>
      </c>
      <c r="K72" s="743"/>
      <c r="L72" s="446"/>
      <c r="M72" s="40"/>
      <c r="N72" s="40"/>
      <c r="O72" s="40"/>
      <c r="P72" s="40"/>
      <c r="Q72" s="40"/>
      <c r="R72" s="40"/>
      <c r="S72" s="40"/>
      <c r="T72" s="40"/>
      <c r="U72" s="40"/>
      <c r="V72" s="40"/>
      <c r="W72" s="40"/>
    </row>
    <row r="73" spans="1:23" ht="11.25" hidden="1" customHeight="1" x14ac:dyDescent="0.2">
      <c r="A73" s="407">
        <f>'Org structure'!E95</f>
        <v>0</v>
      </c>
      <c r="B73" s="445"/>
      <c r="C73" s="739"/>
      <c r="D73" s="740"/>
      <c r="E73" s="741"/>
      <c r="F73" s="742"/>
      <c r="G73" s="741"/>
      <c r="H73" s="742"/>
      <c r="I73" s="44">
        <f t="shared" si="11"/>
        <v>0</v>
      </c>
      <c r="J73" s="330" t="str">
        <f t="shared" si="12"/>
        <v/>
      </c>
      <c r="K73" s="743"/>
      <c r="L73" s="446"/>
      <c r="M73" s="40"/>
      <c r="N73" s="40"/>
      <c r="O73" s="40"/>
      <c r="P73" s="40"/>
      <c r="Q73" s="40"/>
      <c r="R73" s="40"/>
      <c r="S73" s="40"/>
      <c r="T73" s="40"/>
      <c r="U73" s="40"/>
      <c r="V73" s="40"/>
      <c r="W73" s="40"/>
    </row>
    <row r="74" spans="1:23" ht="11.25" hidden="1" customHeight="1" x14ac:dyDescent="0.2">
      <c r="A74" s="407">
        <f>'Org structure'!E96</f>
        <v>0</v>
      </c>
      <c r="B74" s="445"/>
      <c r="C74" s="739"/>
      <c r="D74" s="740"/>
      <c r="E74" s="741"/>
      <c r="F74" s="742"/>
      <c r="G74" s="741"/>
      <c r="H74" s="742"/>
      <c r="I74" s="44">
        <f t="shared" si="11"/>
        <v>0</v>
      </c>
      <c r="J74" s="330" t="str">
        <f t="shared" si="12"/>
        <v/>
      </c>
      <c r="K74" s="743"/>
      <c r="L74" s="446"/>
      <c r="M74" s="40"/>
      <c r="N74" s="40"/>
      <c r="O74" s="40"/>
      <c r="P74" s="40"/>
      <c r="Q74" s="40"/>
      <c r="R74" s="40"/>
      <c r="S74" s="40"/>
      <c r="T74" s="40"/>
      <c r="U74" s="40"/>
      <c r="V74" s="40"/>
      <c r="W74" s="40"/>
    </row>
    <row r="75" spans="1:23" ht="11.25" hidden="1" customHeight="1" x14ac:dyDescent="0.2">
      <c r="A75" s="407">
        <f>'Org structure'!E97</f>
        <v>0</v>
      </c>
      <c r="B75" s="445"/>
      <c r="C75" s="739"/>
      <c r="D75" s="740"/>
      <c r="E75" s="741"/>
      <c r="F75" s="742"/>
      <c r="G75" s="741"/>
      <c r="H75" s="742"/>
      <c r="I75" s="44">
        <f t="shared" si="11"/>
        <v>0</v>
      </c>
      <c r="J75" s="330" t="str">
        <f t="shared" si="12"/>
        <v/>
      </c>
      <c r="K75" s="743"/>
      <c r="L75" s="446"/>
      <c r="M75" s="40"/>
      <c r="N75" s="40"/>
      <c r="O75" s="40"/>
      <c r="P75" s="40"/>
      <c r="Q75" s="40"/>
      <c r="R75" s="40"/>
      <c r="S75" s="40"/>
      <c r="T75" s="40"/>
      <c r="U75" s="40"/>
      <c r="V75" s="40"/>
      <c r="W75" s="40"/>
    </row>
    <row r="76" spans="1:23" ht="11.25" hidden="1" customHeight="1" x14ac:dyDescent="0.2">
      <c r="A76" s="407">
        <f>'Org structure'!E98</f>
        <v>0</v>
      </c>
      <c r="B76" s="445"/>
      <c r="C76" s="739"/>
      <c r="D76" s="740"/>
      <c r="E76" s="741"/>
      <c r="F76" s="742"/>
      <c r="G76" s="741"/>
      <c r="H76" s="742"/>
      <c r="I76" s="44">
        <f t="shared" si="11"/>
        <v>0</v>
      </c>
      <c r="J76" s="330" t="str">
        <f t="shared" si="12"/>
        <v/>
      </c>
      <c r="K76" s="743"/>
      <c r="L76" s="446"/>
      <c r="M76" s="40"/>
      <c r="N76" s="40"/>
      <c r="O76" s="40"/>
      <c r="P76" s="40"/>
      <c r="Q76" s="40"/>
      <c r="R76" s="40"/>
      <c r="S76" s="40"/>
      <c r="T76" s="40"/>
      <c r="U76" s="40"/>
      <c r="V76" s="40"/>
      <c r="W76" s="40"/>
    </row>
    <row r="77" spans="1:23" ht="11.25" hidden="1" customHeight="1" x14ac:dyDescent="0.2">
      <c r="A77" s="407">
        <f>'Org structure'!E99</f>
        <v>0</v>
      </c>
      <c r="B77" s="445"/>
      <c r="C77" s="739"/>
      <c r="D77" s="740"/>
      <c r="E77" s="741"/>
      <c r="F77" s="742"/>
      <c r="G77" s="741"/>
      <c r="H77" s="742"/>
      <c r="I77" s="44">
        <f t="shared" si="11"/>
        <v>0</v>
      </c>
      <c r="J77" s="330" t="str">
        <f t="shared" si="12"/>
        <v/>
      </c>
      <c r="K77" s="743"/>
      <c r="L77" s="446"/>
      <c r="M77" s="40"/>
      <c r="N77" s="40"/>
      <c r="O77" s="40"/>
      <c r="P77" s="40"/>
      <c r="Q77" s="40"/>
      <c r="R77" s="40"/>
      <c r="S77" s="40"/>
      <c r="T77" s="40"/>
      <c r="U77" s="40"/>
      <c r="V77" s="40"/>
      <c r="W77" s="40"/>
    </row>
    <row r="78" spans="1:23" ht="11.25" hidden="1" customHeight="1" x14ac:dyDescent="0.2">
      <c r="A78" s="407">
        <f>'Org structure'!E100</f>
        <v>0</v>
      </c>
      <c r="B78" s="445"/>
      <c r="C78" s="739"/>
      <c r="D78" s="740"/>
      <c r="E78" s="741"/>
      <c r="F78" s="742"/>
      <c r="G78" s="741"/>
      <c r="H78" s="742"/>
      <c r="I78" s="44">
        <f t="shared" si="11"/>
        <v>0</v>
      </c>
      <c r="J78" s="330" t="str">
        <f t="shared" si="12"/>
        <v/>
      </c>
      <c r="K78" s="743"/>
      <c r="L78" s="446"/>
      <c r="M78" s="40"/>
      <c r="N78" s="40"/>
      <c r="O78" s="40"/>
      <c r="P78" s="40"/>
      <c r="Q78" s="40"/>
      <c r="R78" s="40"/>
      <c r="S78" s="40"/>
      <c r="T78" s="40"/>
      <c r="U78" s="40"/>
      <c r="V78" s="40"/>
      <c r="W78" s="40"/>
    </row>
    <row r="79" spans="1:23" ht="11.25" hidden="1" customHeight="1" x14ac:dyDescent="0.2">
      <c r="A79" s="466" t="str">
        <f>'Org structure'!A11</f>
        <v>Vote 10 - [NAME OF VOTE 10]</v>
      </c>
      <c r="B79" s="445"/>
      <c r="C79" s="503">
        <f>SUM(C80:C89)</f>
        <v>0</v>
      </c>
      <c r="D79" s="444">
        <f t="shared" ref="D79:K79" si="16">SUM(D80:D89)</f>
        <v>0</v>
      </c>
      <c r="E79" s="441">
        <f t="shared" si="16"/>
        <v>0</v>
      </c>
      <c r="F79" s="443">
        <f t="shared" si="16"/>
        <v>0</v>
      </c>
      <c r="G79" s="441">
        <f t="shared" si="16"/>
        <v>0</v>
      </c>
      <c r="H79" s="443">
        <f t="shared" si="16"/>
        <v>0</v>
      </c>
      <c r="I79" s="44">
        <f t="shared" si="11"/>
        <v>0</v>
      </c>
      <c r="J79" s="330" t="str">
        <f t="shared" si="12"/>
        <v/>
      </c>
      <c r="K79" s="442">
        <f t="shared" si="16"/>
        <v>0</v>
      </c>
      <c r="L79" s="446"/>
      <c r="M79" s="40"/>
      <c r="N79" s="40"/>
      <c r="O79" s="40"/>
      <c r="P79" s="40"/>
      <c r="Q79" s="40"/>
      <c r="R79" s="40"/>
      <c r="S79" s="40"/>
      <c r="T79" s="40"/>
      <c r="U79" s="40"/>
      <c r="V79" s="40"/>
      <c r="W79" s="40"/>
    </row>
    <row r="80" spans="1:23" ht="11.25" hidden="1" customHeight="1" x14ac:dyDescent="0.2">
      <c r="A80" s="407" t="str">
        <f>'Org structure'!E102</f>
        <v>10.1 - [Name of sub-vote]</v>
      </c>
      <c r="B80" s="445"/>
      <c r="C80" s="739"/>
      <c r="D80" s="740"/>
      <c r="E80" s="741"/>
      <c r="F80" s="742"/>
      <c r="G80" s="741"/>
      <c r="H80" s="742"/>
      <c r="I80" s="44">
        <f t="shared" si="11"/>
        <v>0</v>
      </c>
      <c r="J80" s="330" t="str">
        <f t="shared" si="12"/>
        <v/>
      </c>
      <c r="K80" s="743"/>
      <c r="L80" s="446"/>
      <c r="M80" s="40"/>
      <c r="N80" s="40"/>
      <c r="O80" s="40"/>
      <c r="P80" s="40"/>
      <c r="Q80" s="40"/>
      <c r="R80" s="40"/>
      <c r="S80" s="40"/>
      <c r="T80" s="40"/>
      <c r="U80" s="40"/>
      <c r="V80" s="40"/>
      <c r="W80" s="40"/>
    </row>
    <row r="81" spans="1:23" ht="11.25" hidden="1" customHeight="1" x14ac:dyDescent="0.2">
      <c r="A81" s="407">
        <f>'Org structure'!E103</f>
        <v>0</v>
      </c>
      <c r="B81" s="445"/>
      <c r="C81" s="739"/>
      <c r="D81" s="740"/>
      <c r="E81" s="741"/>
      <c r="F81" s="742"/>
      <c r="G81" s="741"/>
      <c r="H81" s="742"/>
      <c r="I81" s="44">
        <f t="shared" si="11"/>
        <v>0</v>
      </c>
      <c r="J81" s="330" t="str">
        <f t="shared" si="12"/>
        <v/>
      </c>
      <c r="K81" s="743"/>
      <c r="L81" s="446"/>
      <c r="M81" s="40"/>
      <c r="N81" s="40"/>
      <c r="O81" s="40"/>
      <c r="P81" s="40"/>
      <c r="Q81" s="40"/>
      <c r="R81" s="40"/>
      <c r="S81" s="40"/>
      <c r="T81" s="40"/>
      <c r="U81" s="40"/>
      <c r="V81" s="40"/>
      <c r="W81" s="40"/>
    </row>
    <row r="82" spans="1:23" ht="11.25" hidden="1" customHeight="1" x14ac:dyDescent="0.2">
      <c r="A82" s="407">
        <f>'Org structure'!E104</f>
        <v>0</v>
      </c>
      <c r="B82" s="445"/>
      <c r="C82" s="739"/>
      <c r="D82" s="740"/>
      <c r="E82" s="741"/>
      <c r="F82" s="742"/>
      <c r="G82" s="741"/>
      <c r="H82" s="742"/>
      <c r="I82" s="44">
        <f t="shared" si="11"/>
        <v>0</v>
      </c>
      <c r="J82" s="330" t="str">
        <f t="shared" si="12"/>
        <v/>
      </c>
      <c r="K82" s="743"/>
      <c r="L82" s="446"/>
      <c r="M82" s="40"/>
      <c r="N82" s="40"/>
      <c r="O82" s="40"/>
      <c r="P82" s="40"/>
      <c r="Q82" s="40"/>
      <c r="R82" s="40"/>
      <c r="S82" s="40"/>
      <c r="T82" s="40"/>
      <c r="U82" s="40"/>
      <c r="V82" s="40"/>
      <c r="W82" s="40"/>
    </row>
    <row r="83" spans="1:23" ht="11.25" hidden="1" customHeight="1" x14ac:dyDescent="0.2">
      <c r="A83" s="407">
        <f>'Org structure'!E105</f>
        <v>0</v>
      </c>
      <c r="B83" s="445"/>
      <c r="C83" s="739"/>
      <c r="D83" s="740"/>
      <c r="E83" s="741"/>
      <c r="F83" s="742"/>
      <c r="G83" s="741"/>
      <c r="H83" s="742"/>
      <c r="I83" s="44">
        <f t="shared" si="11"/>
        <v>0</v>
      </c>
      <c r="J83" s="330" t="str">
        <f t="shared" si="12"/>
        <v/>
      </c>
      <c r="K83" s="743"/>
      <c r="L83" s="446"/>
      <c r="M83" s="40"/>
      <c r="N83" s="40"/>
      <c r="O83" s="40"/>
      <c r="P83" s="40"/>
      <c r="Q83" s="40"/>
      <c r="R83" s="40"/>
      <c r="S83" s="40"/>
      <c r="T83" s="40"/>
      <c r="U83" s="40"/>
      <c r="V83" s="40"/>
      <c r="W83" s="40"/>
    </row>
    <row r="84" spans="1:23" ht="11.25" hidden="1" customHeight="1" x14ac:dyDescent="0.2">
      <c r="A84" s="407">
        <f>'Org structure'!E106</f>
        <v>0</v>
      </c>
      <c r="B84" s="445"/>
      <c r="C84" s="739"/>
      <c r="D84" s="740"/>
      <c r="E84" s="741"/>
      <c r="F84" s="742"/>
      <c r="G84" s="741"/>
      <c r="H84" s="742"/>
      <c r="I84" s="44">
        <f t="shared" si="11"/>
        <v>0</v>
      </c>
      <c r="J84" s="330" t="str">
        <f t="shared" si="12"/>
        <v/>
      </c>
      <c r="K84" s="743"/>
      <c r="L84" s="446"/>
      <c r="M84" s="40"/>
      <c r="N84" s="40"/>
      <c r="O84" s="40"/>
      <c r="P84" s="40"/>
      <c r="Q84" s="40"/>
      <c r="R84" s="40"/>
      <c r="S84" s="40"/>
      <c r="T84" s="40"/>
      <c r="U84" s="40"/>
      <c r="V84" s="40"/>
      <c r="W84" s="40"/>
    </row>
    <row r="85" spans="1:23" ht="11.25" hidden="1" customHeight="1" x14ac:dyDescent="0.2">
      <c r="A85" s="407">
        <f>'Org structure'!E107</f>
        <v>0</v>
      </c>
      <c r="B85" s="445"/>
      <c r="C85" s="739"/>
      <c r="D85" s="740"/>
      <c r="E85" s="741"/>
      <c r="F85" s="742"/>
      <c r="G85" s="741"/>
      <c r="H85" s="742"/>
      <c r="I85" s="44">
        <f t="shared" si="11"/>
        <v>0</v>
      </c>
      <c r="J85" s="330" t="str">
        <f t="shared" si="12"/>
        <v/>
      </c>
      <c r="K85" s="743"/>
      <c r="L85" s="446"/>
      <c r="M85" s="40"/>
      <c r="N85" s="40"/>
      <c r="O85" s="40"/>
      <c r="P85" s="40"/>
      <c r="Q85" s="40"/>
      <c r="R85" s="40"/>
      <c r="S85" s="40"/>
      <c r="T85" s="40"/>
      <c r="U85" s="40"/>
      <c r="V85" s="40"/>
      <c r="W85" s="40"/>
    </row>
    <row r="86" spans="1:23" ht="11.25" hidden="1" customHeight="1" x14ac:dyDescent="0.2">
      <c r="A86" s="407">
        <f>'Org structure'!E108</f>
        <v>0</v>
      </c>
      <c r="B86" s="445"/>
      <c r="C86" s="739"/>
      <c r="D86" s="740"/>
      <c r="E86" s="741"/>
      <c r="F86" s="742"/>
      <c r="G86" s="741"/>
      <c r="H86" s="742"/>
      <c r="I86" s="44">
        <f t="shared" si="11"/>
        <v>0</v>
      </c>
      <c r="J86" s="330" t="str">
        <f t="shared" si="12"/>
        <v/>
      </c>
      <c r="K86" s="743"/>
      <c r="L86" s="446"/>
      <c r="M86" s="40"/>
      <c r="N86" s="40"/>
      <c r="O86" s="40"/>
      <c r="P86" s="40"/>
      <c r="Q86" s="40"/>
      <c r="R86" s="40"/>
      <c r="S86" s="40"/>
      <c r="T86" s="40"/>
      <c r="U86" s="40"/>
      <c r="V86" s="40"/>
      <c r="W86" s="40"/>
    </row>
    <row r="87" spans="1:23" ht="11.25" hidden="1" customHeight="1" x14ac:dyDescent="0.2">
      <c r="A87" s="407">
        <f>'Org structure'!E109</f>
        <v>0</v>
      </c>
      <c r="B87" s="445"/>
      <c r="C87" s="739"/>
      <c r="D87" s="740"/>
      <c r="E87" s="741"/>
      <c r="F87" s="742"/>
      <c r="G87" s="741"/>
      <c r="H87" s="742"/>
      <c r="I87" s="44">
        <f t="shared" si="11"/>
        <v>0</v>
      </c>
      <c r="J87" s="330" t="str">
        <f t="shared" si="12"/>
        <v/>
      </c>
      <c r="K87" s="743"/>
      <c r="L87" s="446"/>
      <c r="M87" s="40"/>
      <c r="N87" s="40"/>
      <c r="O87" s="40"/>
      <c r="P87" s="40"/>
      <c r="Q87" s="40"/>
      <c r="R87" s="40"/>
      <c r="S87" s="40"/>
      <c r="T87" s="40"/>
      <c r="U87" s="40"/>
      <c r="V87" s="40"/>
      <c r="W87" s="40"/>
    </row>
    <row r="88" spans="1:23" ht="11.25" hidden="1" customHeight="1" x14ac:dyDescent="0.2">
      <c r="A88" s="407">
        <f>'Org structure'!E110</f>
        <v>0</v>
      </c>
      <c r="B88" s="445"/>
      <c r="C88" s="739"/>
      <c r="D88" s="740"/>
      <c r="E88" s="741"/>
      <c r="F88" s="742"/>
      <c r="G88" s="741"/>
      <c r="H88" s="742"/>
      <c r="I88" s="44">
        <f t="shared" si="11"/>
        <v>0</v>
      </c>
      <c r="J88" s="330" t="str">
        <f t="shared" si="12"/>
        <v/>
      </c>
      <c r="K88" s="743"/>
      <c r="L88" s="446"/>
      <c r="M88" s="40"/>
      <c r="N88" s="40"/>
      <c r="O88" s="40"/>
      <c r="P88" s="40"/>
      <c r="Q88" s="40"/>
      <c r="R88" s="40"/>
      <c r="S88" s="40"/>
      <c r="T88" s="40"/>
      <c r="U88" s="40"/>
      <c r="V88" s="40"/>
      <c r="W88" s="40"/>
    </row>
    <row r="89" spans="1:23" ht="11.25" hidden="1" customHeight="1" x14ac:dyDescent="0.2">
      <c r="A89" s="407">
        <f>'Org structure'!E111</f>
        <v>0</v>
      </c>
      <c r="B89" s="445"/>
      <c r="C89" s="739"/>
      <c r="D89" s="740"/>
      <c r="E89" s="741"/>
      <c r="F89" s="742"/>
      <c r="G89" s="741"/>
      <c r="H89" s="742"/>
      <c r="I89" s="44">
        <f t="shared" si="11"/>
        <v>0</v>
      </c>
      <c r="J89" s="330" t="str">
        <f t="shared" si="12"/>
        <v/>
      </c>
      <c r="K89" s="743"/>
      <c r="L89" s="446"/>
      <c r="M89" s="40"/>
      <c r="N89" s="40"/>
      <c r="O89" s="40"/>
      <c r="P89" s="40"/>
      <c r="Q89" s="40"/>
      <c r="R89" s="40"/>
      <c r="S89" s="40"/>
      <c r="T89" s="40"/>
      <c r="U89" s="40"/>
      <c r="V89" s="40"/>
      <c r="W89" s="40"/>
    </row>
    <row r="90" spans="1:23" ht="11.25" hidden="1" customHeight="1" x14ac:dyDescent="0.2">
      <c r="A90" s="466" t="str">
        <f>'Org structure'!A12</f>
        <v>Vote 11 - [NAME OF VOTE 11]</v>
      </c>
      <c r="B90" s="445"/>
      <c r="C90" s="503">
        <f>SUM(C91:C100)</f>
        <v>0</v>
      </c>
      <c r="D90" s="444">
        <f t="shared" ref="D90:K90" si="17">SUM(D91:D100)</f>
        <v>0</v>
      </c>
      <c r="E90" s="441">
        <f t="shared" si="17"/>
        <v>0</v>
      </c>
      <c r="F90" s="443">
        <f t="shared" si="17"/>
        <v>0</v>
      </c>
      <c r="G90" s="441">
        <f t="shared" si="17"/>
        <v>0</v>
      </c>
      <c r="H90" s="443">
        <f t="shared" si="17"/>
        <v>0</v>
      </c>
      <c r="I90" s="44">
        <f t="shared" si="11"/>
        <v>0</v>
      </c>
      <c r="J90" s="330" t="str">
        <f t="shared" si="12"/>
        <v/>
      </c>
      <c r="K90" s="442">
        <f t="shared" si="17"/>
        <v>0</v>
      </c>
      <c r="L90" s="446"/>
      <c r="M90" s="40"/>
      <c r="N90" s="40"/>
      <c r="O90" s="40"/>
      <c r="P90" s="40"/>
      <c r="Q90" s="40"/>
      <c r="R90" s="40"/>
      <c r="S90" s="40"/>
      <c r="T90" s="40"/>
      <c r="U90" s="40"/>
      <c r="V90" s="40"/>
      <c r="W90" s="40"/>
    </row>
    <row r="91" spans="1:23" ht="11.25" hidden="1" customHeight="1" x14ac:dyDescent="0.2">
      <c r="A91" s="407" t="str">
        <f>'Org structure'!E113</f>
        <v>11.1 - [Name of sub-vote]</v>
      </c>
      <c r="B91" s="445"/>
      <c r="C91" s="739"/>
      <c r="D91" s="740"/>
      <c r="E91" s="741"/>
      <c r="F91" s="742"/>
      <c r="G91" s="741"/>
      <c r="H91" s="742"/>
      <c r="I91" s="44">
        <f t="shared" si="11"/>
        <v>0</v>
      </c>
      <c r="J91" s="330" t="str">
        <f t="shared" si="12"/>
        <v/>
      </c>
      <c r="K91" s="743"/>
      <c r="L91" s="446"/>
      <c r="M91" s="40"/>
      <c r="N91" s="40"/>
      <c r="O91" s="40"/>
      <c r="P91" s="40"/>
      <c r="Q91" s="40"/>
      <c r="R91" s="40"/>
      <c r="S91" s="40"/>
      <c r="T91" s="40"/>
      <c r="U91" s="40"/>
      <c r="V91" s="40"/>
      <c r="W91" s="40"/>
    </row>
    <row r="92" spans="1:23" ht="11.25" hidden="1" customHeight="1" x14ac:dyDescent="0.2">
      <c r="A92" s="407">
        <f>'Org structure'!E114</f>
        <v>0</v>
      </c>
      <c r="B92" s="445"/>
      <c r="C92" s="739"/>
      <c r="D92" s="740"/>
      <c r="E92" s="741"/>
      <c r="F92" s="742"/>
      <c r="G92" s="741"/>
      <c r="H92" s="742"/>
      <c r="I92" s="44">
        <f t="shared" si="11"/>
        <v>0</v>
      </c>
      <c r="J92" s="330" t="str">
        <f t="shared" si="12"/>
        <v/>
      </c>
      <c r="K92" s="743"/>
      <c r="L92" s="446"/>
      <c r="M92" s="40"/>
      <c r="N92" s="40"/>
      <c r="O92" s="40"/>
      <c r="P92" s="40"/>
      <c r="Q92" s="40"/>
      <c r="R92" s="40"/>
      <c r="S92" s="40"/>
      <c r="T92" s="40"/>
      <c r="U92" s="40"/>
      <c r="V92" s="40"/>
      <c r="W92" s="40"/>
    </row>
    <row r="93" spans="1:23" ht="11.25" hidden="1" customHeight="1" x14ac:dyDescent="0.2">
      <c r="A93" s="407">
        <f>'Org structure'!E115</f>
        <v>0</v>
      </c>
      <c r="B93" s="445"/>
      <c r="C93" s="739"/>
      <c r="D93" s="740"/>
      <c r="E93" s="741"/>
      <c r="F93" s="742"/>
      <c r="G93" s="741"/>
      <c r="H93" s="742"/>
      <c r="I93" s="44">
        <f t="shared" si="11"/>
        <v>0</v>
      </c>
      <c r="J93" s="330" t="str">
        <f t="shared" si="12"/>
        <v/>
      </c>
      <c r="K93" s="743"/>
      <c r="L93" s="446"/>
      <c r="M93" s="40"/>
      <c r="N93" s="40"/>
      <c r="O93" s="40"/>
      <c r="P93" s="40"/>
      <c r="Q93" s="40"/>
      <c r="R93" s="40"/>
      <c r="S93" s="40"/>
      <c r="T93" s="40"/>
      <c r="U93" s="40"/>
      <c r="V93" s="40"/>
      <c r="W93" s="40"/>
    </row>
    <row r="94" spans="1:23" ht="11.25" hidden="1" customHeight="1" x14ac:dyDescent="0.2">
      <c r="A94" s="407">
        <f>'Org structure'!E116</f>
        <v>0</v>
      </c>
      <c r="B94" s="445"/>
      <c r="C94" s="739"/>
      <c r="D94" s="740"/>
      <c r="E94" s="741"/>
      <c r="F94" s="742"/>
      <c r="G94" s="741"/>
      <c r="H94" s="742"/>
      <c r="I94" s="44">
        <f t="shared" si="11"/>
        <v>0</v>
      </c>
      <c r="J94" s="330" t="str">
        <f t="shared" si="12"/>
        <v/>
      </c>
      <c r="K94" s="743"/>
      <c r="L94" s="446"/>
      <c r="M94" s="40"/>
      <c r="N94" s="40"/>
      <c r="O94" s="40"/>
      <c r="P94" s="40"/>
      <c r="Q94" s="40"/>
      <c r="R94" s="40"/>
      <c r="S94" s="40"/>
      <c r="T94" s="40"/>
      <c r="U94" s="40"/>
      <c r="V94" s="40"/>
      <c r="W94" s="40"/>
    </row>
    <row r="95" spans="1:23" ht="11.25" hidden="1" customHeight="1" x14ac:dyDescent="0.2">
      <c r="A95" s="407">
        <f>'Org structure'!E117</f>
        <v>0</v>
      </c>
      <c r="B95" s="445"/>
      <c r="C95" s="739"/>
      <c r="D95" s="740"/>
      <c r="E95" s="741"/>
      <c r="F95" s="742"/>
      <c r="G95" s="741"/>
      <c r="H95" s="742"/>
      <c r="I95" s="44">
        <f t="shared" si="11"/>
        <v>0</v>
      </c>
      <c r="J95" s="330" t="str">
        <f t="shared" si="12"/>
        <v/>
      </c>
      <c r="K95" s="743"/>
      <c r="L95" s="446"/>
      <c r="M95" s="40"/>
      <c r="N95" s="40"/>
      <c r="O95" s="40"/>
      <c r="P95" s="40"/>
      <c r="Q95" s="40"/>
      <c r="R95" s="40"/>
      <c r="S95" s="40"/>
      <c r="T95" s="40"/>
      <c r="U95" s="40"/>
      <c r="V95" s="40"/>
      <c r="W95" s="40"/>
    </row>
    <row r="96" spans="1:23" ht="11.25" hidden="1" customHeight="1" x14ac:dyDescent="0.2">
      <c r="A96" s="407">
        <f>'Org structure'!E118</f>
        <v>0</v>
      </c>
      <c r="B96" s="445"/>
      <c r="C96" s="739"/>
      <c r="D96" s="740"/>
      <c r="E96" s="741"/>
      <c r="F96" s="742"/>
      <c r="G96" s="741"/>
      <c r="H96" s="742"/>
      <c r="I96" s="44">
        <f t="shared" si="11"/>
        <v>0</v>
      </c>
      <c r="J96" s="330" t="str">
        <f t="shared" si="12"/>
        <v/>
      </c>
      <c r="K96" s="743"/>
      <c r="L96" s="446"/>
      <c r="M96" s="40"/>
      <c r="N96" s="40"/>
      <c r="O96" s="40"/>
      <c r="P96" s="40"/>
      <c r="Q96" s="40"/>
      <c r="R96" s="40"/>
      <c r="S96" s="40"/>
      <c r="T96" s="40"/>
      <c r="U96" s="40"/>
      <c r="V96" s="40"/>
      <c r="W96" s="40"/>
    </row>
    <row r="97" spans="1:23" ht="11.25" hidden="1" customHeight="1" x14ac:dyDescent="0.2">
      <c r="A97" s="407">
        <f>'Org structure'!E119</f>
        <v>0</v>
      </c>
      <c r="B97" s="445"/>
      <c r="C97" s="739"/>
      <c r="D97" s="740"/>
      <c r="E97" s="741"/>
      <c r="F97" s="742"/>
      <c r="G97" s="741"/>
      <c r="H97" s="742"/>
      <c r="I97" s="44">
        <f t="shared" si="11"/>
        <v>0</v>
      </c>
      <c r="J97" s="330" t="str">
        <f t="shared" si="12"/>
        <v/>
      </c>
      <c r="K97" s="743"/>
      <c r="L97" s="446"/>
      <c r="M97" s="40"/>
      <c r="N97" s="40"/>
      <c r="O97" s="40"/>
      <c r="P97" s="40"/>
      <c r="Q97" s="40"/>
      <c r="R97" s="40"/>
      <c r="S97" s="40"/>
      <c r="T97" s="40"/>
      <c r="U97" s="40"/>
      <c r="V97" s="40"/>
      <c r="W97" s="40"/>
    </row>
    <row r="98" spans="1:23" ht="11.25" hidden="1" customHeight="1" x14ac:dyDescent="0.2">
      <c r="A98" s="407">
        <f>'Org structure'!E120</f>
        <v>0</v>
      </c>
      <c r="B98" s="445"/>
      <c r="C98" s="739"/>
      <c r="D98" s="740"/>
      <c r="E98" s="741"/>
      <c r="F98" s="742"/>
      <c r="G98" s="741"/>
      <c r="H98" s="742"/>
      <c r="I98" s="44">
        <f t="shared" si="11"/>
        <v>0</v>
      </c>
      <c r="J98" s="330" t="str">
        <f t="shared" si="12"/>
        <v/>
      </c>
      <c r="K98" s="743"/>
      <c r="L98" s="446"/>
      <c r="M98" s="40"/>
      <c r="N98" s="40"/>
      <c r="O98" s="40"/>
      <c r="P98" s="40"/>
      <c r="Q98" s="40"/>
      <c r="R98" s="40"/>
      <c r="S98" s="40"/>
      <c r="T98" s="40"/>
      <c r="U98" s="40"/>
      <c r="V98" s="40"/>
      <c r="W98" s="40"/>
    </row>
    <row r="99" spans="1:23" ht="11.25" hidden="1" customHeight="1" x14ac:dyDescent="0.2">
      <c r="A99" s="407">
        <f>'Org structure'!E121</f>
        <v>0</v>
      </c>
      <c r="B99" s="445"/>
      <c r="C99" s="739"/>
      <c r="D99" s="740"/>
      <c r="E99" s="741"/>
      <c r="F99" s="742"/>
      <c r="G99" s="741"/>
      <c r="H99" s="742"/>
      <c r="I99" s="44">
        <f t="shared" si="11"/>
        <v>0</v>
      </c>
      <c r="J99" s="330" t="str">
        <f t="shared" si="12"/>
        <v/>
      </c>
      <c r="K99" s="743"/>
      <c r="L99" s="446"/>
      <c r="M99" s="40"/>
      <c r="N99" s="40"/>
      <c r="O99" s="40"/>
      <c r="P99" s="40"/>
      <c r="Q99" s="40"/>
      <c r="R99" s="40"/>
      <c r="S99" s="40"/>
      <c r="T99" s="40"/>
      <c r="U99" s="40"/>
      <c r="V99" s="40"/>
      <c r="W99" s="40"/>
    </row>
    <row r="100" spans="1:23" ht="11.25" hidden="1" customHeight="1" x14ac:dyDescent="0.2">
      <c r="A100" s="407">
        <f>'Org structure'!E122</f>
        <v>0</v>
      </c>
      <c r="B100" s="445"/>
      <c r="C100" s="739"/>
      <c r="D100" s="740"/>
      <c r="E100" s="741"/>
      <c r="F100" s="742"/>
      <c r="G100" s="741"/>
      <c r="H100" s="742"/>
      <c r="I100" s="44">
        <f t="shared" si="11"/>
        <v>0</v>
      </c>
      <c r="J100" s="330" t="str">
        <f t="shared" si="12"/>
        <v/>
      </c>
      <c r="K100" s="743"/>
      <c r="L100" s="446"/>
      <c r="M100" s="40"/>
      <c r="N100" s="40"/>
      <c r="O100" s="40"/>
      <c r="P100" s="40"/>
      <c r="Q100" s="40"/>
      <c r="R100" s="40"/>
      <c r="S100" s="40"/>
      <c r="T100" s="40"/>
      <c r="U100" s="40"/>
      <c r="V100" s="40"/>
      <c r="W100" s="40"/>
    </row>
    <row r="101" spans="1:23" ht="11.25" hidden="1" customHeight="1" x14ac:dyDescent="0.2">
      <c r="A101" s="466" t="str">
        <f>'Org structure'!A13</f>
        <v>Vote 12 - [NAME OF VOTE 12]</v>
      </c>
      <c r="B101" s="445"/>
      <c r="C101" s="503">
        <f>SUM(C102:C111)</f>
        <v>0</v>
      </c>
      <c r="D101" s="444">
        <f t="shared" ref="D101:K101" si="18">SUM(D102:D111)</f>
        <v>0</v>
      </c>
      <c r="E101" s="441">
        <f t="shared" si="18"/>
        <v>0</v>
      </c>
      <c r="F101" s="443">
        <f t="shared" si="18"/>
        <v>0</v>
      </c>
      <c r="G101" s="441">
        <f t="shared" si="18"/>
        <v>0</v>
      </c>
      <c r="H101" s="443">
        <f t="shared" si="18"/>
        <v>0</v>
      </c>
      <c r="I101" s="44">
        <f t="shared" si="11"/>
        <v>0</v>
      </c>
      <c r="J101" s="330" t="str">
        <f t="shared" si="12"/>
        <v/>
      </c>
      <c r="K101" s="442">
        <f t="shared" si="18"/>
        <v>0</v>
      </c>
      <c r="L101" s="446"/>
      <c r="M101" s="40"/>
      <c r="N101" s="40"/>
      <c r="O101" s="40"/>
      <c r="P101" s="40"/>
      <c r="Q101" s="40"/>
      <c r="R101" s="40"/>
      <c r="S101" s="40"/>
      <c r="T101" s="40"/>
      <c r="U101" s="40"/>
      <c r="V101" s="40"/>
      <c r="W101" s="40"/>
    </row>
    <row r="102" spans="1:23" ht="11.25" hidden="1" customHeight="1" x14ac:dyDescent="0.2">
      <c r="A102" s="407" t="str">
        <f>'Org structure'!E124</f>
        <v>12.1 - [Name of sub-vote]</v>
      </c>
      <c r="B102" s="445"/>
      <c r="C102" s="739"/>
      <c r="D102" s="740"/>
      <c r="E102" s="741"/>
      <c r="F102" s="742"/>
      <c r="G102" s="741"/>
      <c r="H102" s="742"/>
      <c r="I102" s="44">
        <f t="shared" si="11"/>
        <v>0</v>
      </c>
      <c r="J102" s="330" t="str">
        <f t="shared" si="12"/>
        <v/>
      </c>
      <c r="K102" s="743"/>
      <c r="L102" s="446"/>
      <c r="M102" s="40"/>
      <c r="N102" s="40"/>
      <c r="O102" s="40"/>
      <c r="P102" s="40"/>
      <c r="Q102" s="40"/>
      <c r="R102" s="40"/>
      <c r="S102" s="40"/>
      <c r="T102" s="40"/>
      <c r="U102" s="40"/>
      <c r="V102" s="40"/>
      <c r="W102" s="40"/>
    </row>
    <row r="103" spans="1:23" ht="11.25" hidden="1" customHeight="1" x14ac:dyDescent="0.2">
      <c r="A103" s="407">
        <f>'Org structure'!E125</f>
        <v>0</v>
      </c>
      <c r="B103" s="445"/>
      <c r="C103" s="739"/>
      <c r="D103" s="740"/>
      <c r="E103" s="741"/>
      <c r="F103" s="742"/>
      <c r="G103" s="741"/>
      <c r="H103" s="742"/>
      <c r="I103" s="44">
        <f t="shared" si="11"/>
        <v>0</v>
      </c>
      <c r="J103" s="330" t="str">
        <f t="shared" si="12"/>
        <v/>
      </c>
      <c r="K103" s="743"/>
      <c r="L103" s="446"/>
      <c r="M103" s="40"/>
      <c r="N103" s="40"/>
      <c r="O103" s="40"/>
      <c r="P103" s="40"/>
      <c r="Q103" s="40"/>
      <c r="R103" s="40"/>
      <c r="S103" s="40"/>
      <c r="T103" s="40"/>
      <c r="U103" s="40"/>
      <c r="V103" s="40"/>
      <c r="W103" s="40"/>
    </row>
    <row r="104" spans="1:23" ht="11.25" hidden="1" customHeight="1" x14ac:dyDescent="0.2">
      <c r="A104" s="407">
        <f>'Org structure'!E126</f>
        <v>0</v>
      </c>
      <c r="B104" s="445"/>
      <c r="C104" s="739"/>
      <c r="D104" s="740"/>
      <c r="E104" s="741"/>
      <c r="F104" s="742"/>
      <c r="G104" s="741"/>
      <c r="H104" s="742"/>
      <c r="I104" s="44">
        <f t="shared" si="11"/>
        <v>0</v>
      </c>
      <c r="J104" s="330" t="str">
        <f t="shared" si="12"/>
        <v/>
      </c>
      <c r="K104" s="743"/>
      <c r="L104" s="446"/>
      <c r="M104" s="40"/>
      <c r="N104" s="40"/>
      <c r="O104" s="40"/>
      <c r="P104" s="40"/>
      <c r="Q104" s="40"/>
      <c r="R104" s="40"/>
      <c r="S104" s="40"/>
      <c r="T104" s="40"/>
      <c r="U104" s="40"/>
      <c r="V104" s="40"/>
      <c r="W104" s="40"/>
    </row>
    <row r="105" spans="1:23" ht="11.25" hidden="1" customHeight="1" x14ac:dyDescent="0.2">
      <c r="A105" s="407">
        <f>'Org structure'!E127</f>
        <v>0</v>
      </c>
      <c r="B105" s="445"/>
      <c r="C105" s="739"/>
      <c r="D105" s="740"/>
      <c r="E105" s="741"/>
      <c r="F105" s="742"/>
      <c r="G105" s="741"/>
      <c r="H105" s="742"/>
      <c r="I105" s="44">
        <f t="shared" si="11"/>
        <v>0</v>
      </c>
      <c r="J105" s="330" t="str">
        <f t="shared" si="12"/>
        <v/>
      </c>
      <c r="K105" s="743"/>
      <c r="L105" s="446"/>
      <c r="M105" s="40"/>
      <c r="N105" s="40"/>
      <c r="O105" s="40"/>
      <c r="P105" s="40"/>
      <c r="Q105" s="40"/>
      <c r="R105" s="40"/>
      <c r="S105" s="40"/>
      <c r="T105" s="40"/>
      <c r="U105" s="40"/>
      <c r="V105" s="40"/>
      <c r="W105" s="40"/>
    </row>
    <row r="106" spans="1:23" ht="11.25" hidden="1" customHeight="1" x14ac:dyDescent="0.2">
      <c r="A106" s="407">
        <f>'Org structure'!E128</f>
        <v>0</v>
      </c>
      <c r="B106" s="445"/>
      <c r="C106" s="739"/>
      <c r="D106" s="740"/>
      <c r="E106" s="741"/>
      <c r="F106" s="742"/>
      <c r="G106" s="741"/>
      <c r="H106" s="742"/>
      <c r="I106" s="44">
        <f t="shared" si="11"/>
        <v>0</v>
      </c>
      <c r="J106" s="330" t="str">
        <f t="shared" si="12"/>
        <v/>
      </c>
      <c r="K106" s="743"/>
      <c r="L106" s="446"/>
      <c r="M106" s="40"/>
      <c r="N106" s="40"/>
      <c r="O106" s="40"/>
      <c r="P106" s="40"/>
      <c r="Q106" s="40"/>
      <c r="R106" s="40"/>
      <c r="S106" s="40"/>
      <c r="T106" s="40"/>
      <c r="U106" s="40"/>
      <c r="V106" s="40"/>
      <c r="W106" s="40"/>
    </row>
    <row r="107" spans="1:23" ht="11.25" hidden="1" customHeight="1" x14ac:dyDescent="0.2">
      <c r="A107" s="407">
        <f>'Org structure'!E129</f>
        <v>0</v>
      </c>
      <c r="B107" s="445"/>
      <c r="C107" s="739"/>
      <c r="D107" s="740"/>
      <c r="E107" s="741"/>
      <c r="F107" s="742"/>
      <c r="G107" s="741"/>
      <c r="H107" s="742"/>
      <c r="I107" s="44">
        <f t="shared" si="11"/>
        <v>0</v>
      </c>
      <c r="J107" s="330" t="str">
        <f t="shared" si="12"/>
        <v/>
      </c>
      <c r="K107" s="743"/>
      <c r="L107" s="446"/>
      <c r="M107" s="40"/>
      <c r="N107" s="40"/>
      <c r="O107" s="40"/>
      <c r="P107" s="40"/>
      <c r="Q107" s="40"/>
      <c r="R107" s="40"/>
      <c r="S107" s="40"/>
      <c r="T107" s="40"/>
      <c r="U107" s="40"/>
      <c r="V107" s="40"/>
      <c r="W107" s="40"/>
    </row>
    <row r="108" spans="1:23" ht="11.25" hidden="1" customHeight="1" x14ac:dyDescent="0.2">
      <c r="A108" s="407">
        <f>'Org structure'!E130</f>
        <v>0</v>
      </c>
      <c r="B108" s="445"/>
      <c r="C108" s="739"/>
      <c r="D108" s="740"/>
      <c r="E108" s="741"/>
      <c r="F108" s="742"/>
      <c r="G108" s="741"/>
      <c r="H108" s="742"/>
      <c r="I108" s="44">
        <f t="shared" ref="I108:I172" si="19">G108-H108</f>
        <v>0</v>
      </c>
      <c r="J108" s="330" t="str">
        <f t="shared" ref="J108:J172" si="20">IF(I108=0,"",I108/H108)</f>
        <v/>
      </c>
      <c r="K108" s="743"/>
      <c r="L108" s="446"/>
      <c r="M108" s="40"/>
      <c r="N108" s="40"/>
      <c r="O108" s="40"/>
      <c r="P108" s="40"/>
      <c r="Q108" s="40"/>
      <c r="R108" s="40"/>
      <c r="S108" s="40"/>
      <c r="T108" s="40"/>
      <c r="U108" s="40"/>
      <c r="V108" s="40"/>
      <c r="W108" s="40"/>
    </row>
    <row r="109" spans="1:23" ht="11.25" hidden="1" customHeight="1" x14ac:dyDescent="0.2">
      <c r="A109" s="407">
        <f>'Org structure'!E131</f>
        <v>0</v>
      </c>
      <c r="B109" s="445"/>
      <c r="C109" s="739"/>
      <c r="D109" s="740"/>
      <c r="E109" s="741"/>
      <c r="F109" s="742"/>
      <c r="G109" s="741"/>
      <c r="H109" s="742"/>
      <c r="I109" s="44">
        <f t="shared" si="19"/>
        <v>0</v>
      </c>
      <c r="J109" s="330" t="str">
        <f t="shared" si="20"/>
        <v/>
      </c>
      <c r="K109" s="743"/>
      <c r="L109" s="446"/>
      <c r="M109" s="40"/>
      <c r="N109" s="40"/>
      <c r="O109" s="40"/>
      <c r="P109" s="40"/>
      <c r="Q109" s="40"/>
      <c r="R109" s="40"/>
      <c r="S109" s="40"/>
      <c r="T109" s="40"/>
      <c r="U109" s="40"/>
      <c r="V109" s="40"/>
      <c r="W109" s="40"/>
    </row>
    <row r="110" spans="1:23" ht="11.25" hidden="1" customHeight="1" x14ac:dyDescent="0.2">
      <c r="A110" s="407">
        <f>'Org structure'!E132</f>
        <v>0</v>
      </c>
      <c r="B110" s="445"/>
      <c r="C110" s="739"/>
      <c r="D110" s="740"/>
      <c r="E110" s="741"/>
      <c r="F110" s="742"/>
      <c r="G110" s="741"/>
      <c r="H110" s="742"/>
      <c r="I110" s="44">
        <f t="shared" si="19"/>
        <v>0</v>
      </c>
      <c r="J110" s="330" t="str">
        <f t="shared" si="20"/>
        <v/>
      </c>
      <c r="K110" s="743"/>
      <c r="L110" s="446"/>
      <c r="M110" s="40"/>
      <c r="N110" s="40"/>
      <c r="O110" s="40"/>
      <c r="P110" s="40"/>
      <c r="Q110" s="40"/>
      <c r="R110" s="40"/>
      <c r="S110" s="40"/>
      <c r="T110" s="40"/>
      <c r="U110" s="40"/>
      <c r="V110" s="40"/>
      <c r="W110" s="40"/>
    </row>
    <row r="111" spans="1:23" ht="11.25" hidden="1" customHeight="1" x14ac:dyDescent="0.2">
      <c r="A111" s="407">
        <f>'Org structure'!E133</f>
        <v>0</v>
      </c>
      <c r="B111" s="445"/>
      <c r="C111" s="739"/>
      <c r="D111" s="740"/>
      <c r="E111" s="741"/>
      <c r="F111" s="742"/>
      <c r="G111" s="741"/>
      <c r="H111" s="742"/>
      <c r="I111" s="44">
        <f t="shared" si="19"/>
        <v>0</v>
      </c>
      <c r="J111" s="330" t="str">
        <f t="shared" si="20"/>
        <v/>
      </c>
      <c r="K111" s="743"/>
      <c r="L111" s="446"/>
      <c r="M111" s="40"/>
      <c r="N111" s="40"/>
      <c r="O111" s="40"/>
      <c r="P111" s="40"/>
      <c r="Q111" s="40"/>
      <c r="R111" s="40"/>
      <c r="S111" s="40"/>
      <c r="T111" s="40"/>
      <c r="U111" s="40"/>
      <c r="V111" s="40"/>
      <c r="W111" s="40"/>
    </row>
    <row r="112" spans="1:23" ht="11.25" hidden="1" customHeight="1" x14ac:dyDescent="0.2">
      <c r="A112" s="466" t="str">
        <f>'Org structure'!A14</f>
        <v>Vote 13 - [NAME OF VOTE 13]</v>
      </c>
      <c r="B112" s="445"/>
      <c r="C112" s="503">
        <f>SUM(C113:C122)</f>
        <v>0</v>
      </c>
      <c r="D112" s="444">
        <f t="shared" ref="D112:K112" si="21">SUM(D113:D122)</f>
        <v>0</v>
      </c>
      <c r="E112" s="441">
        <f t="shared" si="21"/>
        <v>0</v>
      </c>
      <c r="F112" s="443">
        <f t="shared" si="21"/>
        <v>0</v>
      </c>
      <c r="G112" s="441">
        <f t="shared" si="21"/>
        <v>0</v>
      </c>
      <c r="H112" s="443">
        <f t="shared" si="21"/>
        <v>0</v>
      </c>
      <c r="I112" s="44">
        <f t="shared" si="19"/>
        <v>0</v>
      </c>
      <c r="J112" s="330" t="str">
        <f t="shared" si="20"/>
        <v/>
      </c>
      <c r="K112" s="442">
        <f t="shared" si="21"/>
        <v>0</v>
      </c>
      <c r="L112" s="446"/>
      <c r="M112" s="40"/>
      <c r="N112" s="40"/>
      <c r="O112" s="40"/>
      <c r="P112" s="40"/>
      <c r="Q112" s="40"/>
      <c r="R112" s="40"/>
      <c r="S112" s="40"/>
      <c r="T112" s="40"/>
      <c r="U112" s="40"/>
      <c r="V112" s="40"/>
      <c r="W112" s="40"/>
    </row>
    <row r="113" spans="1:23" ht="11.25" hidden="1" customHeight="1" x14ac:dyDescent="0.2">
      <c r="A113" s="407" t="str">
        <f>'Org structure'!E135</f>
        <v>13.1 - [Name of sub-vote]</v>
      </c>
      <c r="B113" s="445"/>
      <c r="C113" s="739"/>
      <c r="D113" s="740"/>
      <c r="E113" s="741"/>
      <c r="F113" s="742"/>
      <c r="G113" s="741"/>
      <c r="H113" s="742"/>
      <c r="I113" s="44">
        <f t="shared" si="19"/>
        <v>0</v>
      </c>
      <c r="J113" s="330" t="str">
        <f t="shared" si="20"/>
        <v/>
      </c>
      <c r="K113" s="743"/>
      <c r="L113" s="446"/>
      <c r="M113" s="40"/>
      <c r="N113" s="40"/>
      <c r="O113" s="40"/>
      <c r="P113" s="40"/>
      <c r="Q113" s="40"/>
      <c r="R113" s="40"/>
      <c r="S113" s="40"/>
      <c r="T113" s="40"/>
      <c r="U113" s="40"/>
      <c r="V113" s="40"/>
      <c r="W113" s="40"/>
    </row>
    <row r="114" spans="1:23" ht="11.25" hidden="1" customHeight="1" x14ac:dyDescent="0.2">
      <c r="A114" s="407">
        <f>'Org structure'!E136</f>
        <v>0</v>
      </c>
      <c r="B114" s="445"/>
      <c r="C114" s="739"/>
      <c r="D114" s="740"/>
      <c r="E114" s="741"/>
      <c r="F114" s="742"/>
      <c r="G114" s="741"/>
      <c r="H114" s="742"/>
      <c r="I114" s="44">
        <f t="shared" si="19"/>
        <v>0</v>
      </c>
      <c r="J114" s="330" t="str">
        <f t="shared" si="20"/>
        <v/>
      </c>
      <c r="K114" s="743"/>
      <c r="L114" s="446"/>
      <c r="M114" s="40"/>
      <c r="N114" s="40"/>
      <c r="O114" s="40"/>
      <c r="P114" s="40"/>
      <c r="Q114" s="40"/>
      <c r="R114" s="40"/>
      <c r="S114" s="40"/>
      <c r="T114" s="40"/>
      <c r="U114" s="40"/>
      <c r="V114" s="40"/>
      <c r="W114" s="40"/>
    </row>
    <row r="115" spans="1:23" ht="11.25" hidden="1" customHeight="1" x14ac:dyDescent="0.2">
      <c r="A115" s="407">
        <f>'Org structure'!E137</f>
        <v>0</v>
      </c>
      <c r="B115" s="445"/>
      <c r="C115" s="739"/>
      <c r="D115" s="740"/>
      <c r="E115" s="741"/>
      <c r="F115" s="742"/>
      <c r="G115" s="741"/>
      <c r="H115" s="742"/>
      <c r="I115" s="44">
        <f t="shared" si="19"/>
        <v>0</v>
      </c>
      <c r="J115" s="330" t="str">
        <f t="shared" si="20"/>
        <v/>
      </c>
      <c r="K115" s="743"/>
      <c r="L115" s="446"/>
      <c r="M115" s="40"/>
      <c r="N115" s="40"/>
      <c r="O115" s="40"/>
      <c r="P115" s="40"/>
      <c r="Q115" s="40"/>
      <c r="R115" s="40"/>
      <c r="S115" s="40"/>
      <c r="T115" s="40"/>
      <c r="U115" s="40"/>
      <c r="V115" s="40"/>
      <c r="W115" s="40"/>
    </row>
    <row r="116" spans="1:23" ht="11.25" hidden="1" customHeight="1" x14ac:dyDescent="0.2">
      <c r="A116" s="407">
        <f>'Org structure'!E138</f>
        <v>0</v>
      </c>
      <c r="B116" s="445"/>
      <c r="C116" s="739"/>
      <c r="D116" s="740"/>
      <c r="E116" s="741"/>
      <c r="F116" s="742"/>
      <c r="G116" s="741"/>
      <c r="H116" s="742"/>
      <c r="I116" s="44">
        <f t="shared" si="19"/>
        <v>0</v>
      </c>
      <c r="J116" s="330" t="str">
        <f t="shared" si="20"/>
        <v/>
      </c>
      <c r="K116" s="739"/>
      <c r="L116" s="446"/>
      <c r="M116" s="40"/>
      <c r="N116" s="40"/>
      <c r="O116" s="40"/>
      <c r="P116" s="40"/>
      <c r="Q116" s="40"/>
      <c r="R116" s="40"/>
      <c r="S116" s="40"/>
      <c r="T116" s="40"/>
      <c r="U116" s="40"/>
      <c r="V116" s="40"/>
      <c r="W116" s="40"/>
    </row>
    <row r="117" spans="1:23" ht="11.25" hidden="1" customHeight="1" x14ac:dyDescent="0.2">
      <c r="A117" s="407">
        <f>'Org structure'!E139</f>
        <v>0</v>
      </c>
      <c r="B117" s="445"/>
      <c r="C117" s="739"/>
      <c r="D117" s="740"/>
      <c r="E117" s="741"/>
      <c r="F117" s="742"/>
      <c r="G117" s="741"/>
      <c r="H117" s="742"/>
      <c r="I117" s="44">
        <f t="shared" si="19"/>
        <v>0</v>
      </c>
      <c r="J117" s="330" t="str">
        <f t="shared" si="20"/>
        <v/>
      </c>
      <c r="K117" s="743"/>
      <c r="L117" s="446"/>
      <c r="M117" s="40"/>
      <c r="N117" s="40"/>
      <c r="O117" s="40"/>
      <c r="P117" s="40"/>
      <c r="Q117" s="40"/>
      <c r="R117" s="40"/>
      <c r="S117" s="40"/>
      <c r="T117" s="40"/>
      <c r="U117" s="40"/>
      <c r="V117" s="40"/>
      <c r="W117" s="40"/>
    </row>
    <row r="118" spans="1:23" ht="11.25" hidden="1" customHeight="1" x14ac:dyDescent="0.2">
      <c r="A118" s="407">
        <f>'Org structure'!E140</f>
        <v>0</v>
      </c>
      <c r="B118" s="445"/>
      <c r="C118" s="739"/>
      <c r="D118" s="740"/>
      <c r="E118" s="741"/>
      <c r="F118" s="742"/>
      <c r="G118" s="741"/>
      <c r="H118" s="742"/>
      <c r="I118" s="44">
        <f t="shared" si="19"/>
        <v>0</v>
      </c>
      <c r="J118" s="330" t="str">
        <f t="shared" si="20"/>
        <v/>
      </c>
      <c r="K118" s="743"/>
      <c r="L118" s="446"/>
      <c r="M118" s="40"/>
      <c r="N118" s="40"/>
      <c r="O118" s="40"/>
      <c r="P118" s="40"/>
      <c r="Q118" s="40"/>
      <c r="R118" s="40"/>
      <c r="S118" s="40"/>
      <c r="T118" s="40"/>
      <c r="U118" s="40"/>
      <c r="V118" s="40"/>
      <c r="W118" s="40"/>
    </row>
    <row r="119" spans="1:23" ht="11.25" hidden="1" customHeight="1" x14ac:dyDescent="0.2">
      <c r="A119" s="407">
        <f>'Org structure'!E141</f>
        <v>0</v>
      </c>
      <c r="B119" s="445"/>
      <c r="C119" s="739"/>
      <c r="D119" s="740"/>
      <c r="E119" s="741"/>
      <c r="F119" s="742"/>
      <c r="G119" s="741"/>
      <c r="H119" s="742"/>
      <c r="I119" s="44">
        <f t="shared" si="19"/>
        <v>0</v>
      </c>
      <c r="J119" s="330" t="str">
        <f t="shared" si="20"/>
        <v/>
      </c>
      <c r="K119" s="743"/>
      <c r="L119" s="446"/>
      <c r="M119" s="40"/>
      <c r="N119" s="40"/>
      <c r="O119" s="40"/>
      <c r="P119" s="40"/>
      <c r="Q119" s="40"/>
      <c r="R119" s="40"/>
      <c r="S119" s="40"/>
      <c r="T119" s="40"/>
      <c r="U119" s="40"/>
      <c r="V119" s="40"/>
      <c r="W119" s="40"/>
    </row>
    <row r="120" spans="1:23" ht="11.25" hidden="1" customHeight="1" x14ac:dyDescent="0.2">
      <c r="A120" s="407">
        <f>'Org structure'!E142</f>
        <v>0</v>
      </c>
      <c r="B120" s="445"/>
      <c r="C120" s="739"/>
      <c r="D120" s="740"/>
      <c r="E120" s="741"/>
      <c r="F120" s="742"/>
      <c r="G120" s="741"/>
      <c r="H120" s="742"/>
      <c r="I120" s="44">
        <f t="shared" si="19"/>
        <v>0</v>
      </c>
      <c r="J120" s="330" t="str">
        <f t="shared" si="20"/>
        <v/>
      </c>
      <c r="K120" s="743"/>
      <c r="L120" s="446"/>
      <c r="M120" s="40"/>
      <c r="N120" s="40"/>
      <c r="O120" s="40"/>
      <c r="P120" s="40"/>
      <c r="Q120" s="40"/>
      <c r="R120" s="40"/>
      <c r="S120" s="40"/>
      <c r="T120" s="40"/>
      <c r="U120" s="40"/>
      <c r="V120" s="40"/>
      <c r="W120" s="40"/>
    </row>
    <row r="121" spans="1:23" ht="11.25" hidden="1" customHeight="1" x14ac:dyDescent="0.2">
      <c r="A121" s="407">
        <f>'Org structure'!E143</f>
        <v>0</v>
      </c>
      <c r="B121" s="445"/>
      <c r="C121" s="739"/>
      <c r="D121" s="740"/>
      <c r="E121" s="741"/>
      <c r="F121" s="742"/>
      <c r="G121" s="741"/>
      <c r="H121" s="742"/>
      <c r="I121" s="44">
        <f t="shared" si="19"/>
        <v>0</v>
      </c>
      <c r="J121" s="330" t="str">
        <f t="shared" si="20"/>
        <v/>
      </c>
      <c r="K121" s="743"/>
      <c r="L121" s="446"/>
      <c r="M121" s="40"/>
      <c r="N121" s="40"/>
      <c r="O121" s="40"/>
      <c r="P121" s="40"/>
      <c r="Q121" s="40"/>
      <c r="R121" s="40"/>
      <c r="S121" s="40"/>
      <c r="T121" s="40"/>
      <c r="U121" s="40"/>
      <c r="V121" s="40"/>
      <c r="W121" s="40"/>
    </row>
    <row r="122" spans="1:23" ht="11.25" hidden="1" customHeight="1" x14ac:dyDescent="0.2">
      <c r="A122" s="407">
        <f>'Org structure'!E144</f>
        <v>0</v>
      </c>
      <c r="B122" s="445"/>
      <c r="C122" s="739"/>
      <c r="D122" s="740"/>
      <c r="E122" s="741"/>
      <c r="F122" s="742"/>
      <c r="G122" s="741"/>
      <c r="H122" s="742"/>
      <c r="I122" s="44">
        <f t="shared" si="19"/>
        <v>0</v>
      </c>
      <c r="J122" s="330" t="str">
        <f t="shared" si="20"/>
        <v/>
      </c>
      <c r="K122" s="743"/>
      <c r="L122" s="446"/>
      <c r="M122" s="40"/>
      <c r="N122" s="40"/>
      <c r="O122" s="40"/>
      <c r="P122" s="40"/>
      <c r="Q122" s="40"/>
      <c r="R122" s="40"/>
      <c r="S122" s="40"/>
      <c r="T122" s="40"/>
      <c r="U122" s="40"/>
      <c r="V122" s="40"/>
      <c r="W122" s="40"/>
    </row>
    <row r="123" spans="1:23" ht="11.25" hidden="1" customHeight="1" x14ac:dyDescent="0.2">
      <c r="A123" s="466" t="str">
        <f>'Org structure'!A15</f>
        <v>Vote 14 - [NAME OF VOTE 14]</v>
      </c>
      <c r="B123" s="445"/>
      <c r="C123" s="503">
        <f>SUM(C124:C133)</f>
        <v>0</v>
      </c>
      <c r="D123" s="444">
        <f t="shared" ref="D123:K123" si="22">SUM(D124:D133)</f>
        <v>0</v>
      </c>
      <c r="E123" s="441">
        <f t="shared" si="22"/>
        <v>0</v>
      </c>
      <c r="F123" s="443">
        <f t="shared" si="22"/>
        <v>0</v>
      </c>
      <c r="G123" s="441">
        <f t="shared" si="22"/>
        <v>0</v>
      </c>
      <c r="H123" s="443">
        <f t="shared" si="22"/>
        <v>0</v>
      </c>
      <c r="I123" s="44">
        <f t="shared" si="19"/>
        <v>0</v>
      </c>
      <c r="J123" s="330" t="str">
        <f t="shared" si="20"/>
        <v/>
      </c>
      <c r="K123" s="442">
        <f t="shared" si="22"/>
        <v>0</v>
      </c>
      <c r="L123" s="446"/>
      <c r="M123" s="40"/>
      <c r="N123" s="40"/>
      <c r="O123" s="40"/>
      <c r="P123" s="40"/>
      <c r="Q123" s="40"/>
      <c r="R123" s="40"/>
      <c r="S123" s="40"/>
      <c r="T123" s="40"/>
      <c r="U123" s="40"/>
      <c r="V123" s="40"/>
      <c r="W123" s="40"/>
    </row>
    <row r="124" spans="1:23" ht="11.25" hidden="1" customHeight="1" x14ac:dyDescent="0.2">
      <c r="A124" s="407" t="str">
        <f>'Org structure'!E146</f>
        <v>14.1 - [Name of sub-vote]</v>
      </c>
      <c r="B124" s="445"/>
      <c r="C124" s="739"/>
      <c r="D124" s="740"/>
      <c r="E124" s="741"/>
      <c r="F124" s="742"/>
      <c r="G124" s="741"/>
      <c r="H124" s="742"/>
      <c r="I124" s="44">
        <f t="shared" si="19"/>
        <v>0</v>
      </c>
      <c r="J124" s="330" t="str">
        <f t="shared" si="20"/>
        <v/>
      </c>
      <c r="K124" s="743"/>
      <c r="L124" s="446"/>
      <c r="M124" s="40"/>
      <c r="N124" s="40"/>
      <c r="O124" s="40"/>
      <c r="P124" s="40"/>
      <c r="Q124" s="40"/>
      <c r="R124" s="40"/>
      <c r="S124" s="40"/>
      <c r="T124" s="40"/>
      <c r="U124" s="40"/>
      <c r="V124" s="40"/>
      <c r="W124" s="40"/>
    </row>
    <row r="125" spans="1:23" ht="11.25" hidden="1" customHeight="1" x14ac:dyDescent="0.2">
      <c r="A125" s="407">
        <f>'Org structure'!E147</f>
        <v>0</v>
      </c>
      <c r="B125" s="445"/>
      <c r="C125" s="739"/>
      <c r="D125" s="740"/>
      <c r="E125" s="741"/>
      <c r="F125" s="742"/>
      <c r="G125" s="741"/>
      <c r="H125" s="742"/>
      <c r="I125" s="44">
        <f t="shared" si="19"/>
        <v>0</v>
      </c>
      <c r="J125" s="330" t="str">
        <f t="shared" si="20"/>
        <v/>
      </c>
      <c r="K125" s="743"/>
      <c r="L125" s="446"/>
      <c r="M125" s="40"/>
      <c r="N125" s="40"/>
      <c r="O125" s="40"/>
      <c r="P125" s="40"/>
      <c r="Q125" s="40"/>
      <c r="R125" s="40"/>
      <c r="S125" s="40"/>
      <c r="T125" s="40"/>
      <c r="U125" s="40"/>
      <c r="V125" s="40"/>
      <c r="W125" s="40"/>
    </row>
    <row r="126" spans="1:23" ht="11.25" hidden="1" customHeight="1" x14ac:dyDescent="0.2">
      <c r="A126" s="407">
        <f>'Org structure'!E148</f>
        <v>0</v>
      </c>
      <c r="B126" s="445"/>
      <c r="C126" s="739"/>
      <c r="D126" s="740"/>
      <c r="E126" s="741"/>
      <c r="F126" s="742"/>
      <c r="G126" s="741"/>
      <c r="H126" s="742"/>
      <c r="I126" s="44">
        <f t="shared" si="19"/>
        <v>0</v>
      </c>
      <c r="J126" s="330" t="str">
        <f t="shared" si="20"/>
        <v/>
      </c>
      <c r="K126" s="743"/>
      <c r="L126" s="446"/>
      <c r="M126" s="40"/>
      <c r="N126" s="40"/>
      <c r="O126" s="40"/>
      <c r="P126" s="40"/>
      <c r="Q126" s="40"/>
      <c r="R126" s="40"/>
      <c r="S126" s="40"/>
      <c r="T126" s="40"/>
      <c r="U126" s="40"/>
      <c r="V126" s="40"/>
      <c r="W126" s="40"/>
    </row>
    <row r="127" spans="1:23" ht="11.25" hidden="1" customHeight="1" x14ac:dyDescent="0.2">
      <c r="A127" s="407">
        <f>'Org structure'!E149</f>
        <v>0</v>
      </c>
      <c r="B127" s="445"/>
      <c r="C127" s="739"/>
      <c r="D127" s="740"/>
      <c r="E127" s="741"/>
      <c r="F127" s="742"/>
      <c r="G127" s="741"/>
      <c r="H127" s="742"/>
      <c r="I127" s="44">
        <f t="shared" si="19"/>
        <v>0</v>
      </c>
      <c r="J127" s="330" t="str">
        <f t="shared" si="20"/>
        <v/>
      </c>
      <c r="K127" s="743"/>
      <c r="L127" s="446"/>
      <c r="M127" s="40"/>
      <c r="N127" s="40"/>
      <c r="O127" s="40"/>
      <c r="P127" s="40"/>
      <c r="Q127" s="40"/>
      <c r="R127" s="40"/>
      <c r="S127" s="40"/>
      <c r="T127" s="40"/>
      <c r="U127" s="40"/>
      <c r="V127" s="40"/>
      <c r="W127" s="40"/>
    </row>
    <row r="128" spans="1:23" ht="11.25" hidden="1" customHeight="1" x14ac:dyDescent="0.2">
      <c r="A128" s="407">
        <f>'Org structure'!E150</f>
        <v>0</v>
      </c>
      <c r="B128" s="445"/>
      <c r="C128" s="739"/>
      <c r="D128" s="740"/>
      <c r="E128" s="741"/>
      <c r="F128" s="742"/>
      <c r="G128" s="741"/>
      <c r="H128" s="742"/>
      <c r="I128" s="44">
        <f t="shared" si="19"/>
        <v>0</v>
      </c>
      <c r="J128" s="330" t="str">
        <f t="shared" si="20"/>
        <v/>
      </c>
      <c r="K128" s="743"/>
      <c r="L128" s="446"/>
      <c r="M128" s="40"/>
      <c r="N128" s="40"/>
      <c r="O128" s="40"/>
      <c r="P128" s="40"/>
      <c r="Q128" s="40"/>
      <c r="R128" s="40"/>
      <c r="S128" s="40"/>
      <c r="T128" s="40"/>
      <c r="U128" s="40"/>
      <c r="V128" s="40"/>
      <c r="W128" s="40"/>
    </row>
    <row r="129" spans="1:23" ht="11.25" hidden="1" customHeight="1" x14ac:dyDescent="0.2">
      <c r="A129" s="407">
        <f>'Org structure'!E151</f>
        <v>0</v>
      </c>
      <c r="B129" s="445"/>
      <c r="C129" s="739"/>
      <c r="D129" s="740"/>
      <c r="E129" s="741"/>
      <c r="F129" s="742"/>
      <c r="G129" s="741"/>
      <c r="H129" s="742"/>
      <c r="I129" s="44">
        <f t="shared" si="19"/>
        <v>0</v>
      </c>
      <c r="J129" s="330" t="str">
        <f t="shared" si="20"/>
        <v/>
      </c>
      <c r="K129" s="743"/>
      <c r="L129" s="446"/>
      <c r="M129" s="40"/>
      <c r="N129" s="40"/>
      <c r="O129" s="40"/>
      <c r="P129" s="40"/>
      <c r="Q129" s="40"/>
      <c r="R129" s="40"/>
      <c r="S129" s="40"/>
      <c r="T129" s="40"/>
      <c r="U129" s="40"/>
      <c r="V129" s="40"/>
      <c r="W129" s="40"/>
    </row>
    <row r="130" spans="1:23" ht="11.25" hidden="1" customHeight="1" x14ac:dyDescent="0.2">
      <c r="A130" s="407">
        <f>'Org structure'!E152</f>
        <v>0</v>
      </c>
      <c r="B130" s="445"/>
      <c r="C130" s="739"/>
      <c r="D130" s="740"/>
      <c r="E130" s="741"/>
      <c r="F130" s="742"/>
      <c r="G130" s="741"/>
      <c r="H130" s="742"/>
      <c r="I130" s="44">
        <f t="shared" si="19"/>
        <v>0</v>
      </c>
      <c r="J130" s="330" t="str">
        <f t="shared" si="20"/>
        <v/>
      </c>
      <c r="K130" s="743"/>
      <c r="L130" s="446"/>
      <c r="M130" s="40"/>
      <c r="N130" s="40"/>
      <c r="O130" s="40"/>
      <c r="P130" s="40"/>
      <c r="Q130" s="40"/>
      <c r="R130" s="40"/>
      <c r="S130" s="40"/>
      <c r="T130" s="40"/>
      <c r="U130" s="40"/>
      <c r="V130" s="40"/>
      <c r="W130" s="40"/>
    </row>
    <row r="131" spans="1:23" ht="11.25" hidden="1" customHeight="1" x14ac:dyDescent="0.2">
      <c r="A131" s="407">
        <f>'Org structure'!E153</f>
        <v>0</v>
      </c>
      <c r="B131" s="445"/>
      <c r="C131" s="739"/>
      <c r="D131" s="740"/>
      <c r="E131" s="741"/>
      <c r="F131" s="742"/>
      <c r="G131" s="741"/>
      <c r="H131" s="742"/>
      <c r="I131" s="44">
        <f t="shared" si="19"/>
        <v>0</v>
      </c>
      <c r="J131" s="330" t="str">
        <f t="shared" si="20"/>
        <v/>
      </c>
      <c r="K131" s="743"/>
      <c r="L131" s="446"/>
      <c r="M131" s="40"/>
      <c r="N131" s="40"/>
      <c r="O131" s="40"/>
      <c r="P131" s="40"/>
      <c r="Q131" s="40"/>
      <c r="R131" s="40"/>
      <c r="S131" s="40"/>
      <c r="T131" s="40"/>
      <c r="U131" s="40"/>
      <c r="V131" s="40"/>
      <c r="W131" s="40"/>
    </row>
    <row r="132" spans="1:23" ht="11.25" hidden="1" customHeight="1" x14ac:dyDescent="0.2">
      <c r="A132" s="407">
        <f>'Org structure'!E154</f>
        <v>0</v>
      </c>
      <c r="B132" s="445"/>
      <c r="C132" s="739"/>
      <c r="D132" s="740"/>
      <c r="E132" s="741"/>
      <c r="F132" s="742"/>
      <c r="G132" s="741"/>
      <c r="H132" s="742"/>
      <c r="I132" s="44">
        <f t="shared" si="19"/>
        <v>0</v>
      </c>
      <c r="J132" s="330" t="str">
        <f t="shared" si="20"/>
        <v/>
      </c>
      <c r="K132" s="743"/>
      <c r="L132" s="446"/>
      <c r="M132" s="40"/>
      <c r="N132" s="40"/>
      <c r="O132" s="40"/>
      <c r="P132" s="40"/>
      <c r="Q132" s="40"/>
      <c r="R132" s="40"/>
      <c r="S132" s="40"/>
      <c r="T132" s="40"/>
      <c r="U132" s="40"/>
      <c r="V132" s="40"/>
      <c r="W132" s="40"/>
    </row>
    <row r="133" spans="1:23" ht="11.25" hidden="1" customHeight="1" x14ac:dyDescent="0.2">
      <c r="A133" s="407">
        <f>'Org structure'!E155</f>
        <v>0</v>
      </c>
      <c r="B133" s="445"/>
      <c r="C133" s="739"/>
      <c r="D133" s="740"/>
      <c r="E133" s="741"/>
      <c r="F133" s="742"/>
      <c r="G133" s="741"/>
      <c r="H133" s="742"/>
      <c r="I133" s="44">
        <f t="shared" si="19"/>
        <v>0</v>
      </c>
      <c r="J133" s="330" t="str">
        <f t="shared" si="20"/>
        <v/>
      </c>
      <c r="K133" s="743"/>
      <c r="L133" s="446"/>
      <c r="M133" s="40"/>
      <c r="N133" s="40"/>
      <c r="O133" s="40"/>
      <c r="P133" s="40"/>
      <c r="Q133" s="40"/>
      <c r="R133" s="40"/>
      <c r="S133" s="40"/>
      <c r="T133" s="40"/>
      <c r="U133" s="40"/>
      <c r="V133" s="40"/>
      <c r="W133" s="40"/>
    </row>
    <row r="134" spans="1:23" ht="11.25" hidden="1" customHeight="1" x14ac:dyDescent="0.2">
      <c r="A134" s="466" t="str">
        <f>'Org structure'!A16</f>
        <v>Vote 15 - [NAME OF VOTE 15]</v>
      </c>
      <c r="B134" s="445"/>
      <c r="C134" s="503">
        <f>SUM(C135:C144)</f>
        <v>0</v>
      </c>
      <c r="D134" s="444">
        <f t="shared" ref="D134:K134" si="23">SUM(D135:D144)</f>
        <v>0</v>
      </c>
      <c r="E134" s="441">
        <f t="shared" si="23"/>
        <v>0</v>
      </c>
      <c r="F134" s="443">
        <f t="shared" si="23"/>
        <v>0</v>
      </c>
      <c r="G134" s="441">
        <f t="shared" si="23"/>
        <v>0</v>
      </c>
      <c r="H134" s="443">
        <f t="shared" si="23"/>
        <v>0</v>
      </c>
      <c r="I134" s="44">
        <f t="shared" si="19"/>
        <v>0</v>
      </c>
      <c r="J134" s="330" t="str">
        <f t="shared" si="20"/>
        <v/>
      </c>
      <c r="K134" s="442">
        <f t="shared" si="23"/>
        <v>0</v>
      </c>
      <c r="L134" s="446"/>
      <c r="M134" s="40"/>
      <c r="N134" s="40"/>
      <c r="O134" s="40"/>
      <c r="P134" s="40"/>
      <c r="Q134" s="40"/>
      <c r="R134" s="40"/>
      <c r="S134" s="40"/>
      <c r="T134" s="40"/>
      <c r="U134" s="40"/>
      <c r="V134" s="40"/>
      <c r="W134" s="40"/>
    </row>
    <row r="135" spans="1:23" ht="11.25" hidden="1" customHeight="1" x14ac:dyDescent="0.2">
      <c r="A135" s="407" t="str">
        <f>'Org structure'!E157</f>
        <v>15.1 - [Name of sub-vote]</v>
      </c>
      <c r="B135" s="445"/>
      <c r="C135" s="739"/>
      <c r="D135" s="740"/>
      <c r="E135" s="741"/>
      <c r="F135" s="742"/>
      <c r="G135" s="741"/>
      <c r="H135" s="742"/>
      <c r="I135" s="44">
        <f t="shared" si="19"/>
        <v>0</v>
      </c>
      <c r="J135" s="330" t="str">
        <f t="shared" si="20"/>
        <v/>
      </c>
      <c r="K135" s="743"/>
      <c r="L135" s="446"/>
      <c r="M135" s="40"/>
      <c r="N135" s="40"/>
      <c r="O135" s="40"/>
      <c r="P135" s="40"/>
      <c r="Q135" s="40"/>
      <c r="R135" s="40"/>
      <c r="S135" s="40"/>
      <c r="T135" s="40"/>
      <c r="U135" s="40"/>
      <c r="V135" s="40"/>
      <c r="W135" s="40"/>
    </row>
    <row r="136" spans="1:23" ht="11.25" hidden="1" customHeight="1" x14ac:dyDescent="0.2">
      <c r="A136" s="407">
        <f>'Org structure'!E158</f>
        <v>0</v>
      </c>
      <c r="B136" s="445"/>
      <c r="C136" s="739"/>
      <c r="D136" s="740"/>
      <c r="E136" s="741"/>
      <c r="F136" s="742"/>
      <c r="G136" s="741"/>
      <c r="H136" s="742"/>
      <c r="I136" s="44">
        <f t="shared" si="19"/>
        <v>0</v>
      </c>
      <c r="J136" s="330" t="str">
        <f t="shared" si="20"/>
        <v/>
      </c>
      <c r="K136" s="743"/>
      <c r="L136" s="446"/>
      <c r="M136" s="40"/>
      <c r="N136" s="40"/>
      <c r="O136" s="40"/>
      <c r="P136" s="40"/>
      <c r="Q136" s="40"/>
      <c r="R136" s="40"/>
      <c r="S136" s="40"/>
      <c r="T136" s="40"/>
      <c r="U136" s="40"/>
      <c r="V136" s="40"/>
      <c r="W136" s="40"/>
    </row>
    <row r="137" spans="1:23" ht="11.25" hidden="1" customHeight="1" x14ac:dyDescent="0.2">
      <c r="A137" s="407">
        <f>'Org structure'!E159</f>
        <v>0</v>
      </c>
      <c r="B137" s="445"/>
      <c r="C137" s="739"/>
      <c r="D137" s="740"/>
      <c r="E137" s="741"/>
      <c r="F137" s="742"/>
      <c r="G137" s="741"/>
      <c r="H137" s="742"/>
      <c r="I137" s="44">
        <f t="shared" si="19"/>
        <v>0</v>
      </c>
      <c r="J137" s="330" t="str">
        <f t="shared" si="20"/>
        <v/>
      </c>
      <c r="K137" s="743"/>
      <c r="L137" s="446"/>
      <c r="M137" s="40"/>
      <c r="N137" s="40"/>
      <c r="O137" s="40"/>
      <c r="P137" s="40"/>
      <c r="Q137" s="40"/>
      <c r="R137" s="40"/>
      <c r="S137" s="40"/>
      <c r="T137" s="40"/>
      <c r="U137" s="40"/>
      <c r="V137" s="40"/>
      <c r="W137" s="40"/>
    </row>
    <row r="138" spans="1:23" ht="11.25" hidden="1" customHeight="1" x14ac:dyDescent="0.2">
      <c r="A138" s="407">
        <f>'Org structure'!E160</f>
        <v>0</v>
      </c>
      <c r="B138" s="445"/>
      <c r="C138" s="739"/>
      <c r="D138" s="740"/>
      <c r="E138" s="741"/>
      <c r="F138" s="742"/>
      <c r="G138" s="741"/>
      <c r="H138" s="742"/>
      <c r="I138" s="44">
        <f t="shared" si="19"/>
        <v>0</v>
      </c>
      <c r="J138" s="330" t="str">
        <f t="shared" si="20"/>
        <v/>
      </c>
      <c r="K138" s="743"/>
      <c r="L138" s="446"/>
      <c r="M138" s="40"/>
      <c r="N138" s="40"/>
      <c r="O138" s="40"/>
      <c r="P138" s="40"/>
      <c r="Q138" s="40"/>
      <c r="R138" s="40"/>
      <c r="S138" s="40"/>
      <c r="T138" s="40"/>
      <c r="U138" s="40"/>
      <c r="V138" s="40"/>
      <c r="W138" s="40"/>
    </row>
    <row r="139" spans="1:23" ht="11.25" hidden="1" customHeight="1" x14ac:dyDescent="0.2">
      <c r="A139" s="407">
        <f>'Org structure'!E161</f>
        <v>0</v>
      </c>
      <c r="B139" s="445"/>
      <c r="C139" s="739"/>
      <c r="D139" s="740"/>
      <c r="E139" s="741"/>
      <c r="F139" s="742"/>
      <c r="G139" s="741"/>
      <c r="H139" s="742"/>
      <c r="I139" s="44">
        <f t="shared" si="19"/>
        <v>0</v>
      </c>
      <c r="J139" s="330" t="str">
        <f t="shared" si="20"/>
        <v/>
      </c>
      <c r="K139" s="743"/>
      <c r="L139" s="446"/>
      <c r="M139" s="40"/>
      <c r="N139" s="40"/>
      <c r="O139" s="40"/>
      <c r="P139" s="40"/>
      <c r="Q139" s="40"/>
      <c r="R139" s="40"/>
      <c r="S139" s="40"/>
      <c r="T139" s="40"/>
      <c r="U139" s="40"/>
      <c r="V139" s="40"/>
      <c r="W139" s="40"/>
    </row>
    <row r="140" spans="1:23" ht="11.25" hidden="1" customHeight="1" x14ac:dyDescent="0.2">
      <c r="A140" s="407">
        <f>'Org structure'!E162</f>
        <v>0</v>
      </c>
      <c r="B140" s="445"/>
      <c r="C140" s="739"/>
      <c r="D140" s="740"/>
      <c r="E140" s="741"/>
      <c r="F140" s="742"/>
      <c r="G140" s="741"/>
      <c r="H140" s="742"/>
      <c r="I140" s="44">
        <f t="shared" si="19"/>
        <v>0</v>
      </c>
      <c r="J140" s="330" t="str">
        <f t="shared" si="20"/>
        <v/>
      </c>
      <c r="K140" s="743"/>
      <c r="L140" s="446"/>
      <c r="M140" s="40"/>
      <c r="N140" s="40"/>
      <c r="O140" s="40"/>
      <c r="P140" s="40"/>
      <c r="Q140" s="40"/>
      <c r="R140" s="40"/>
      <c r="S140" s="40"/>
      <c r="T140" s="40"/>
      <c r="U140" s="40"/>
      <c r="V140" s="40"/>
      <c r="W140" s="40"/>
    </row>
    <row r="141" spans="1:23" ht="11.25" hidden="1" customHeight="1" x14ac:dyDescent="0.2">
      <c r="A141" s="407">
        <f>'Org structure'!E163</f>
        <v>0</v>
      </c>
      <c r="B141" s="445"/>
      <c r="C141" s="739"/>
      <c r="D141" s="740"/>
      <c r="E141" s="741"/>
      <c r="F141" s="742"/>
      <c r="G141" s="741"/>
      <c r="H141" s="742"/>
      <c r="I141" s="44">
        <f t="shared" si="19"/>
        <v>0</v>
      </c>
      <c r="J141" s="330" t="str">
        <f t="shared" si="20"/>
        <v/>
      </c>
      <c r="K141" s="743"/>
      <c r="L141" s="446"/>
      <c r="M141" s="40"/>
      <c r="N141" s="40"/>
      <c r="O141" s="40"/>
      <c r="P141" s="40"/>
      <c r="Q141" s="40"/>
      <c r="R141" s="40"/>
      <c r="S141" s="40"/>
      <c r="T141" s="40"/>
      <c r="U141" s="40"/>
      <c r="V141" s="40"/>
      <c r="W141" s="40"/>
    </row>
    <row r="142" spans="1:23" ht="11.25" hidden="1" customHeight="1" x14ac:dyDescent="0.2">
      <c r="A142" s="407">
        <f>'Org structure'!E164</f>
        <v>0</v>
      </c>
      <c r="B142" s="445"/>
      <c r="C142" s="739"/>
      <c r="D142" s="740"/>
      <c r="E142" s="741"/>
      <c r="F142" s="742"/>
      <c r="G142" s="741"/>
      <c r="H142" s="742"/>
      <c r="I142" s="44">
        <f t="shared" si="19"/>
        <v>0</v>
      </c>
      <c r="J142" s="330" t="str">
        <f t="shared" si="20"/>
        <v/>
      </c>
      <c r="K142" s="743"/>
      <c r="L142" s="446"/>
      <c r="M142" s="40"/>
      <c r="N142" s="40"/>
      <c r="O142" s="40"/>
      <c r="P142" s="40"/>
      <c r="Q142" s="40"/>
      <c r="R142" s="40"/>
      <c r="S142" s="40"/>
      <c r="T142" s="40"/>
      <c r="U142" s="40"/>
      <c r="V142" s="40"/>
      <c r="W142" s="40"/>
    </row>
    <row r="143" spans="1:23" ht="11.25" hidden="1" customHeight="1" x14ac:dyDescent="0.2">
      <c r="A143" s="407">
        <f>'Org structure'!E165</f>
        <v>0</v>
      </c>
      <c r="B143" s="445"/>
      <c r="C143" s="739"/>
      <c r="D143" s="740"/>
      <c r="E143" s="741"/>
      <c r="F143" s="742"/>
      <c r="G143" s="741"/>
      <c r="H143" s="742"/>
      <c r="I143" s="44">
        <f t="shared" si="19"/>
        <v>0</v>
      </c>
      <c r="J143" s="330" t="str">
        <f t="shared" si="20"/>
        <v/>
      </c>
      <c r="K143" s="743"/>
      <c r="L143" s="446"/>
      <c r="M143" s="40"/>
      <c r="N143" s="40"/>
      <c r="O143" s="40"/>
      <c r="P143" s="40"/>
      <c r="Q143" s="40"/>
      <c r="R143" s="40"/>
      <c r="S143" s="40"/>
      <c r="T143" s="40"/>
      <c r="U143" s="40"/>
      <c r="V143" s="40"/>
      <c r="W143" s="40"/>
    </row>
    <row r="144" spans="1:23" ht="11.25" hidden="1" customHeight="1" x14ac:dyDescent="0.2">
      <c r="A144" s="407">
        <f>'Org structure'!E166</f>
        <v>0</v>
      </c>
      <c r="B144" s="445"/>
      <c r="C144" s="739"/>
      <c r="D144" s="740"/>
      <c r="E144" s="741"/>
      <c r="F144" s="742"/>
      <c r="G144" s="741"/>
      <c r="H144" s="742"/>
      <c r="I144" s="44">
        <f t="shared" si="19"/>
        <v>0</v>
      </c>
      <c r="J144" s="330" t="str">
        <f t="shared" si="20"/>
        <v/>
      </c>
      <c r="K144" s="743"/>
      <c r="L144" s="452">
        <f t="shared" ref="L144:W144" si="24">SUM(L52:L55)</f>
        <v>0</v>
      </c>
      <c r="M144" s="453">
        <f t="shared" si="24"/>
        <v>0</v>
      </c>
      <c r="N144" s="453">
        <f t="shared" si="24"/>
        <v>0</v>
      </c>
      <c r="O144" s="453">
        <f t="shared" si="24"/>
        <v>0</v>
      </c>
      <c r="P144" s="453">
        <f t="shared" si="24"/>
        <v>0</v>
      </c>
      <c r="Q144" s="453">
        <f t="shared" si="24"/>
        <v>0</v>
      </c>
      <c r="R144" s="453">
        <f t="shared" si="24"/>
        <v>0</v>
      </c>
      <c r="S144" s="453">
        <f t="shared" si="24"/>
        <v>0</v>
      </c>
      <c r="T144" s="453">
        <f t="shared" si="24"/>
        <v>0</v>
      </c>
      <c r="U144" s="453">
        <f t="shared" si="24"/>
        <v>0</v>
      </c>
      <c r="V144" s="453">
        <f t="shared" si="24"/>
        <v>0</v>
      </c>
      <c r="W144" s="453">
        <f t="shared" si="24"/>
        <v>0</v>
      </c>
    </row>
    <row r="145" spans="1:23" ht="12.75" customHeight="1" x14ac:dyDescent="0.2">
      <c r="A145" s="447" t="s">
        <v>798</v>
      </c>
      <c r="B145" s="415"/>
      <c r="C145" s="504">
        <f>C7+C12+C18+C23+C29+C35+C46+C57+C68+C79+C90+C101+C112+C123+C134</f>
        <v>0</v>
      </c>
      <c r="D145" s="451">
        <f>D7+D12+D18+D23+D29+D35</f>
        <v>509167581</v>
      </c>
      <c r="E145" s="448">
        <f>E7+E12+E18+E23+E29+E35+E46+E57+E68+E79+E90+E101+E112+E123+E134</f>
        <v>0</v>
      </c>
      <c r="F145" s="450">
        <f>F7+F12+F18+F23+F29+F35+F46+F57+F68+F79+F90+F101+F112+F123+F134</f>
        <v>32751610.620000001</v>
      </c>
      <c r="G145" s="448">
        <f>G7+G12+G18+G23+G29+G35+G46+G57+G68+G79+G90+G101+G112+G123+G134</f>
        <v>39166359.659999996</v>
      </c>
      <c r="H145" s="450">
        <f>H7+H12+H18+H23+H29+H35+H46+H57+H68+H79+H90+H101+H112+H123+H134</f>
        <v>127291895.25</v>
      </c>
      <c r="I145" s="514">
        <f t="shared" si="19"/>
        <v>-88125535.590000004</v>
      </c>
      <c r="J145" s="515">
        <f t="shared" si="20"/>
        <v>-0.69231065667552782</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
      <c r="A146" s="454"/>
      <c r="B146" s="455"/>
      <c r="C146" s="505"/>
      <c r="D146" s="459"/>
      <c r="E146" s="456"/>
      <c r="F146" s="458"/>
      <c r="G146" s="456"/>
      <c r="H146" s="458"/>
      <c r="I146" s="115">
        <f t="shared" si="19"/>
        <v>0</v>
      </c>
      <c r="J146" s="133" t="str">
        <f t="shared" si="20"/>
        <v/>
      </c>
      <c r="K146" s="457"/>
      <c r="L146" s="446"/>
      <c r="M146" s="40"/>
      <c r="N146" s="40"/>
      <c r="O146" s="40"/>
      <c r="P146" s="40"/>
      <c r="Q146" s="40"/>
      <c r="R146" s="40"/>
      <c r="S146" s="40"/>
      <c r="T146" s="40"/>
      <c r="U146" s="40"/>
      <c r="V146" s="40"/>
      <c r="W146" s="40"/>
    </row>
    <row r="147" spans="1:23" ht="12" customHeight="1" x14ac:dyDescent="0.2">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
      <c r="A148" s="35" t="s">
        <v>801</v>
      </c>
      <c r="B148" s="415">
        <v>1</v>
      </c>
      <c r="C148" s="704"/>
      <c r="D148" s="705"/>
      <c r="E148" s="706"/>
      <c r="F148" s="707"/>
      <c r="G148" s="706"/>
      <c r="H148" s="707"/>
      <c r="I148" s="44">
        <f t="shared" si="19"/>
        <v>0</v>
      </c>
      <c r="J148" s="330" t="str">
        <f t="shared" si="20"/>
        <v/>
      </c>
      <c r="K148" s="708"/>
      <c r="L148" s="446"/>
      <c r="M148" s="40"/>
      <c r="N148" s="40"/>
      <c r="O148" s="40"/>
      <c r="P148" s="40"/>
      <c r="Q148" s="40"/>
      <c r="R148" s="40"/>
      <c r="S148" s="40"/>
      <c r="T148" s="40"/>
      <c r="U148" s="40"/>
      <c r="V148" s="40"/>
      <c r="W148" s="40"/>
    </row>
    <row r="149" spans="1:23" ht="11.25" customHeight="1" x14ac:dyDescent="0.2">
      <c r="A149" s="466" t="str">
        <f>'Org structure'!A2</f>
        <v>Vote 1 - City Manager</v>
      </c>
      <c r="B149" s="467"/>
      <c r="C149" s="507">
        <f t="shared" ref="C149:K149" si="25">SUM(C150:C159)</f>
        <v>0</v>
      </c>
      <c r="D149" s="471">
        <f t="shared" si="25"/>
        <v>0</v>
      </c>
      <c r="E149" s="468">
        <f t="shared" si="25"/>
        <v>0</v>
      </c>
      <c r="F149" s="470">
        <f t="shared" si="25"/>
        <v>0</v>
      </c>
      <c r="G149" s="468">
        <f t="shared" si="25"/>
        <v>1135600</v>
      </c>
      <c r="H149" s="470">
        <f t="shared" si="25"/>
        <v>0</v>
      </c>
      <c r="I149" s="44">
        <f t="shared" si="19"/>
        <v>1135600</v>
      </c>
      <c r="J149" s="330" t="e">
        <f t="shared" si="20"/>
        <v>#DIV/0!</v>
      </c>
      <c r="K149" s="469">
        <f t="shared" si="25"/>
        <v>0</v>
      </c>
      <c r="L149" s="446"/>
      <c r="M149" s="40"/>
      <c r="N149" s="40"/>
      <c r="O149" s="40"/>
      <c r="P149" s="40"/>
      <c r="Q149" s="40"/>
      <c r="R149" s="40"/>
      <c r="S149" s="40"/>
      <c r="T149" s="40"/>
      <c r="U149" s="40"/>
      <c r="V149" s="40"/>
      <c r="W149" s="40"/>
    </row>
    <row r="150" spans="1:23" ht="11.25" customHeight="1" x14ac:dyDescent="0.2">
      <c r="A150" s="407" t="str">
        <f>'Org structure'!E3</f>
        <v>1.1 - Internal Audit and Compliance</v>
      </c>
      <c r="B150" s="445"/>
      <c r="C150" s="744"/>
      <c r="D150" s="745"/>
      <c r="E150" s="733"/>
      <c r="F150" s="746"/>
      <c r="G150" s="733"/>
      <c r="H150" s="746"/>
      <c r="I150" s="44">
        <f t="shared" si="19"/>
        <v>0</v>
      </c>
      <c r="J150" s="330" t="str">
        <f t="shared" si="20"/>
        <v/>
      </c>
      <c r="K150" s="747"/>
      <c r="L150" s="446"/>
      <c r="M150" s="40"/>
      <c r="N150" s="40"/>
      <c r="O150" s="40"/>
      <c r="P150" s="40"/>
      <c r="Q150" s="40"/>
      <c r="R150" s="40"/>
      <c r="S150" s="40"/>
      <c r="T150" s="40"/>
      <c r="U150" s="40"/>
      <c r="V150" s="40"/>
      <c r="W150" s="40"/>
    </row>
    <row r="151" spans="1:23" ht="11.25" customHeight="1" x14ac:dyDescent="0.2">
      <c r="A151" s="407" t="str">
        <f>'Org structure'!E4</f>
        <v>1.2 - Office of the City Manager</v>
      </c>
      <c r="B151" s="445"/>
      <c r="C151" s="744"/>
      <c r="D151" s="745"/>
      <c r="E151" s="733"/>
      <c r="F151" s="746"/>
      <c r="G151" s="733">
        <v>1135600</v>
      </c>
      <c r="H151" s="746"/>
      <c r="I151" s="44">
        <f t="shared" si="19"/>
        <v>1135600</v>
      </c>
      <c r="J151" s="330" t="e">
        <f t="shared" si="20"/>
        <v>#DIV/0!</v>
      </c>
      <c r="K151" s="747"/>
      <c r="L151" s="446"/>
      <c r="M151" s="40"/>
      <c r="N151" s="40"/>
      <c r="O151" s="40"/>
      <c r="P151" s="40"/>
      <c r="Q151" s="40"/>
      <c r="R151" s="40"/>
      <c r="S151" s="40"/>
      <c r="T151" s="40"/>
      <c r="U151" s="40"/>
      <c r="V151" s="40"/>
      <c r="W151" s="40"/>
    </row>
    <row r="152" spans="1:23" ht="11.25" customHeight="1" x14ac:dyDescent="0.2">
      <c r="A152" s="407" t="str">
        <f>'Org structure'!E5</f>
        <v>1.3 - Political Support</v>
      </c>
      <c r="B152" s="445"/>
      <c r="C152" s="744"/>
      <c r="D152" s="745"/>
      <c r="E152" s="733"/>
      <c r="F152" s="746"/>
      <c r="G152" s="733"/>
      <c r="H152" s="746"/>
      <c r="I152" s="44">
        <f t="shared" si="19"/>
        <v>0</v>
      </c>
      <c r="J152" s="330" t="str">
        <f t="shared" si="20"/>
        <v/>
      </c>
      <c r="K152" s="747"/>
      <c r="L152" s="446"/>
      <c r="M152" s="40"/>
      <c r="N152" s="40"/>
      <c r="O152" s="40"/>
      <c r="P152" s="40"/>
      <c r="Q152" s="40"/>
      <c r="R152" s="40"/>
      <c r="S152" s="40"/>
      <c r="T152" s="40"/>
      <c r="U152" s="40"/>
      <c r="V152" s="40"/>
      <c r="W152" s="40"/>
    </row>
    <row r="153" spans="1:23" ht="11.25" customHeight="1" x14ac:dyDescent="0.2">
      <c r="A153" s="407" t="str">
        <f>'Org structure'!E6</f>
        <v>1.4 - Strategic Planning</v>
      </c>
      <c r="B153" s="445"/>
      <c r="C153" s="744"/>
      <c r="D153" s="745"/>
      <c r="E153" s="733"/>
      <c r="F153" s="746"/>
      <c r="G153" s="733"/>
      <c r="H153" s="746"/>
      <c r="I153" s="44">
        <f t="shared" si="19"/>
        <v>0</v>
      </c>
      <c r="J153" s="330" t="str">
        <f t="shared" si="20"/>
        <v/>
      </c>
      <c r="K153" s="747"/>
      <c r="L153" s="446"/>
      <c r="M153" s="40"/>
      <c r="N153" s="40"/>
      <c r="O153" s="40"/>
      <c r="P153" s="40"/>
      <c r="Q153" s="40"/>
      <c r="R153" s="40"/>
      <c r="S153" s="40"/>
      <c r="T153" s="40"/>
      <c r="U153" s="40"/>
      <c r="V153" s="40"/>
      <c r="W153" s="40"/>
    </row>
    <row r="154" spans="1:23" ht="11.25" hidden="1" customHeight="1" x14ac:dyDescent="0.2">
      <c r="A154" s="407">
        <f>'Org structure'!E7</f>
        <v>0</v>
      </c>
      <c r="B154" s="445"/>
      <c r="C154" s="744"/>
      <c r="D154" s="745"/>
      <c r="E154" s="733"/>
      <c r="F154" s="746"/>
      <c r="G154" s="733"/>
      <c r="H154" s="746"/>
      <c r="I154" s="44">
        <f t="shared" si="19"/>
        <v>0</v>
      </c>
      <c r="J154" s="330" t="str">
        <f t="shared" si="20"/>
        <v/>
      </c>
      <c r="K154" s="747"/>
      <c r="L154" s="446"/>
      <c r="M154" s="40"/>
      <c r="N154" s="40"/>
      <c r="O154" s="40"/>
      <c r="P154" s="40"/>
      <c r="Q154" s="40"/>
      <c r="R154" s="40"/>
      <c r="S154" s="40"/>
      <c r="T154" s="40"/>
      <c r="U154" s="40"/>
      <c r="V154" s="40"/>
      <c r="W154" s="40"/>
    </row>
    <row r="155" spans="1:23" ht="11.25" hidden="1" customHeight="1" x14ac:dyDescent="0.2">
      <c r="A155" s="407">
        <f>'Org structure'!E8</f>
        <v>0</v>
      </c>
      <c r="B155" s="445"/>
      <c r="C155" s="744"/>
      <c r="D155" s="745"/>
      <c r="E155" s="733"/>
      <c r="F155" s="746"/>
      <c r="G155" s="733"/>
      <c r="H155" s="746"/>
      <c r="I155" s="44">
        <f t="shared" si="19"/>
        <v>0</v>
      </c>
      <c r="J155" s="330" t="str">
        <f t="shared" si="20"/>
        <v/>
      </c>
      <c r="K155" s="747"/>
      <c r="L155" s="446"/>
      <c r="M155" s="40"/>
      <c r="N155" s="40"/>
      <c r="O155" s="40"/>
      <c r="P155" s="40"/>
      <c r="Q155" s="40"/>
      <c r="R155" s="40"/>
      <c r="S155" s="40"/>
      <c r="T155" s="40"/>
      <c r="U155" s="40"/>
      <c r="V155" s="40"/>
      <c r="W155" s="40"/>
    </row>
    <row r="156" spans="1:23" ht="11.25" hidden="1" customHeight="1" x14ac:dyDescent="0.2">
      <c r="A156" s="407">
        <f>'Org structure'!E9</f>
        <v>0</v>
      </c>
      <c r="B156" s="445"/>
      <c r="C156" s="744"/>
      <c r="D156" s="745"/>
      <c r="E156" s="733"/>
      <c r="F156" s="746"/>
      <c r="G156" s="733"/>
      <c r="H156" s="746"/>
      <c r="I156" s="44">
        <f t="shared" si="19"/>
        <v>0</v>
      </c>
      <c r="J156" s="330" t="str">
        <f t="shared" si="20"/>
        <v/>
      </c>
      <c r="K156" s="747"/>
      <c r="L156" s="446"/>
      <c r="M156" s="40"/>
      <c r="N156" s="40"/>
      <c r="O156" s="40"/>
      <c r="P156" s="40"/>
      <c r="Q156" s="40"/>
      <c r="R156" s="40"/>
      <c r="S156" s="40"/>
      <c r="T156" s="40"/>
      <c r="U156" s="40"/>
      <c r="V156" s="40"/>
      <c r="W156" s="40"/>
    </row>
    <row r="157" spans="1:23" ht="11.25" hidden="1" customHeight="1" x14ac:dyDescent="0.2">
      <c r="A157" s="407">
        <f>'Org structure'!E10</f>
        <v>0</v>
      </c>
      <c r="B157" s="445"/>
      <c r="C157" s="744"/>
      <c r="D157" s="745"/>
      <c r="E157" s="733"/>
      <c r="F157" s="746"/>
      <c r="G157" s="733"/>
      <c r="H157" s="746"/>
      <c r="I157" s="44">
        <f t="shared" si="19"/>
        <v>0</v>
      </c>
      <c r="J157" s="330" t="str">
        <f t="shared" si="20"/>
        <v/>
      </c>
      <c r="K157" s="747"/>
      <c r="L157" s="446"/>
      <c r="M157" s="40"/>
      <c r="N157" s="40"/>
      <c r="O157" s="40"/>
      <c r="P157" s="40"/>
      <c r="Q157" s="40"/>
      <c r="R157" s="40"/>
      <c r="S157" s="40"/>
      <c r="T157" s="40"/>
      <c r="U157" s="40"/>
      <c r="V157" s="40"/>
      <c r="W157" s="40"/>
    </row>
    <row r="158" spans="1:23" ht="11.25" hidden="1" customHeight="1" x14ac:dyDescent="0.2">
      <c r="A158" s="407">
        <f>'Org structure'!E11</f>
        <v>0</v>
      </c>
      <c r="B158" s="445"/>
      <c r="C158" s="744"/>
      <c r="D158" s="745"/>
      <c r="E158" s="733"/>
      <c r="F158" s="746"/>
      <c r="G158" s="733"/>
      <c r="H158" s="746"/>
      <c r="I158" s="44">
        <f t="shared" si="19"/>
        <v>0</v>
      </c>
      <c r="J158" s="330" t="str">
        <f t="shared" si="20"/>
        <v/>
      </c>
      <c r="K158" s="747"/>
      <c r="L158" s="446"/>
      <c r="M158" s="40"/>
      <c r="N158" s="40"/>
      <c r="O158" s="40"/>
      <c r="P158" s="40"/>
      <c r="Q158" s="40"/>
      <c r="R158" s="40"/>
      <c r="S158" s="40"/>
      <c r="T158" s="40"/>
      <c r="U158" s="40"/>
      <c r="V158" s="40"/>
      <c r="W158" s="40"/>
    </row>
    <row r="159" spans="1:23" ht="11.25" hidden="1" customHeight="1" x14ac:dyDescent="0.2">
      <c r="A159" s="407">
        <f>'Org structure'!E12</f>
        <v>0</v>
      </c>
      <c r="B159" s="445"/>
      <c r="C159" s="744"/>
      <c r="D159" s="745"/>
      <c r="E159" s="733"/>
      <c r="F159" s="746"/>
      <c r="G159" s="733"/>
      <c r="H159" s="746"/>
      <c r="I159" s="44">
        <f t="shared" si="19"/>
        <v>0</v>
      </c>
      <c r="J159" s="330" t="str">
        <f t="shared" si="20"/>
        <v/>
      </c>
      <c r="K159" s="747"/>
      <c r="L159" s="48"/>
      <c r="M159" s="473"/>
      <c r="N159" s="473"/>
      <c r="O159" s="473"/>
      <c r="P159" s="473"/>
      <c r="Q159" s="473"/>
      <c r="R159" s="473"/>
      <c r="S159" s="473"/>
      <c r="T159" s="473"/>
      <c r="U159" s="473"/>
      <c r="V159" s="473"/>
      <c r="W159" s="473"/>
    </row>
    <row r="160" spans="1:23" ht="11.25" customHeight="1" x14ac:dyDescent="0.2">
      <c r="A160" s="466" t="str">
        <f>'Org structure'!A3</f>
        <v>Vote 2 - City Finance</v>
      </c>
      <c r="B160" s="440"/>
      <c r="C160" s="503">
        <f>SUM(C161:C170)</f>
        <v>0</v>
      </c>
      <c r="D160" s="444">
        <f>SUM(D161:D170)</f>
        <v>15000000</v>
      </c>
      <c r="E160" s="441">
        <f t="shared" ref="E160:K160" si="26">SUM(E161:E170)</f>
        <v>0</v>
      </c>
      <c r="F160" s="443">
        <f t="shared" si="26"/>
        <v>0</v>
      </c>
      <c r="G160" s="441">
        <f t="shared" si="26"/>
        <v>-97000</v>
      </c>
      <c r="H160" s="443">
        <f t="shared" si="26"/>
        <v>3750000</v>
      </c>
      <c r="I160" s="44">
        <f t="shared" si="19"/>
        <v>-3847000</v>
      </c>
      <c r="J160" s="330">
        <f t="shared" si="20"/>
        <v>-1.0258666666666667</v>
      </c>
      <c r="K160" s="442">
        <f t="shared" si="26"/>
        <v>15000000</v>
      </c>
      <c r="L160" s="48"/>
      <c r="M160" s="473"/>
      <c r="N160" s="473"/>
      <c r="O160" s="473"/>
      <c r="P160" s="473"/>
      <c r="Q160" s="473"/>
      <c r="R160" s="473"/>
      <c r="S160" s="473"/>
      <c r="T160" s="473"/>
      <c r="U160" s="473"/>
      <c r="V160" s="473"/>
      <c r="W160" s="473"/>
    </row>
    <row r="161" spans="1:23" ht="11.25" customHeight="1" x14ac:dyDescent="0.2">
      <c r="A161" s="407" t="str">
        <f>'Org structure'!E14</f>
        <v>2.1 - Asset Management</v>
      </c>
      <c r="B161" s="445"/>
      <c r="C161" s="744"/>
      <c r="D161" s="745">
        <v>15000000</v>
      </c>
      <c r="E161" s="733"/>
      <c r="F161" s="746"/>
      <c r="G161" s="733"/>
      <c r="H161" s="746">
        <f>D161/12*3</f>
        <v>3750000</v>
      </c>
      <c r="I161" s="44">
        <f t="shared" si="19"/>
        <v>-3750000</v>
      </c>
      <c r="J161" s="330">
        <f t="shared" si="20"/>
        <v>-1</v>
      </c>
      <c r="K161" s="747">
        <f>D161</f>
        <v>15000000</v>
      </c>
      <c r="L161" s="48"/>
      <c r="M161" s="473"/>
      <c r="N161" s="473"/>
      <c r="O161" s="473"/>
      <c r="P161" s="473"/>
      <c r="Q161" s="473"/>
      <c r="R161" s="473"/>
      <c r="S161" s="473"/>
      <c r="T161" s="473"/>
      <c r="U161" s="473"/>
      <c r="V161" s="473"/>
      <c r="W161" s="473"/>
    </row>
    <row r="162" spans="1:23" ht="11.25" customHeight="1" x14ac:dyDescent="0.2">
      <c r="A162" s="407" t="str">
        <f>'Org structure'!E15</f>
        <v>2.2 - Budget and Treasury Management</v>
      </c>
      <c r="B162" s="445"/>
      <c r="C162" s="744"/>
      <c r="D162" s="745"/>
      <c r="E162" s="733"/>
      <c r="F162" s="746"/>
      <c r="G162" s="733">
        <v>-97000</v>
      </c>
      <c r="H162" s="746"/>
      <c r="I162" s="44">
        <f t="shared" si="19"/>
        <v>-97000</v>
      </c>
      <c r="J162" s="330" t="e">
        <f t="shared" si="20"/>
        <v>#DIV/0!</v>
      </c>
      <c r="K162" s="747"/>
      <c r="L162" s="48"/>
      <c r="M162" s="473"/>
      <c r="N162" s="473"/>
      <c r="O162" s="473"/>
      <c r="P162" s="473"/>
      <c r="Q162" s="473"/>
      <c r="R162" s="473"/>
      <c r="S162" s="473"/>
      <c r="T162" s="473"/>
      <c r="U162" s="473"/>
      <c r="V162" s="473"/>
      <c r="W162" s="473"/>
    </row>
    <row r="163" spans="1:23" ht="11.25" customHeight="1" x14ac:dyDescent="0.2">
      <c r="A163" s="407" t="str">
        <f>'Org structure'!E16</f>
        <v>2.3 - Expenditure Management</v>
      </c>
      <c r="B163" s="445"/>
      <c r="C163" s="744"/>
      <c r="D163" s="745"/>
      <c r="E163" s="733"/>
      <c r="F163" s="746"/>
      <c r="G163" s="733"/>
      <c r="H163" s="746"/>
      <c r="I163" s="44">
        <f t="shared" si="19"/>
        <v>0</v>
      </c>
      <c r="J163" s="330" t="str">
        <f t="shared" si="20"/>
        <v/>
      </c>
      <c r="K163" s="747"/>
      <c r="L163" s="48"/>
      <c r="M163" s="473"/>
      <c r="N163" s="473"/>
      <c r="O163" s="473"/>
      <c r="P163" s="473"/>
      <c r="Q163" s="473"/>
      <c r="R163" s="473"/>
      <c r="S163" s="473"/>
      <c r="T163" s="473"/>
      <c r="U163" s="473"/>
      <c r="V163" s="473"/>
      <c r="W163" s="473"/>
    </row>
    <row r="164" spans="1:23" ht="11.25" customHeight="1" x14ac:dyDescent="0.2">
      <c r="A164" s="407" t="str">
        <f>'Org structure'!E17</f>
        <v>2.4 - Revenue Management</v>
      </c>
      <c r="B164" s="445"/>
      <c r="C164" s="744"/>
      <c r="D164" s="745"/>
      <c r="E164" s="733"/>
      <c r="F164" s="746"/>
      <c r="G164" s="733"/>
      <c r="H164" s="746"/>
      <c r="I164" s="44">
        <f t="shared" si="19"/>
        <v>0</v>
      </c>
      <c r="J164" s="330" t="str">
        <f t="shared" si="20"/>
        <v/>
      </c>
      <c r="K164" s="747"/>
      <c r="L164" s="48"/>
      <c r="M164" s="473"/>
      <c r="N164" s="473"/>
      <c r="O164" s="473"/>
      <c r="P164" s="473"/>
      <c r="Q164" s="473"/>
      <c r="R164" s="473"/>
      <c r="S164" s="473"/>
      <c r="T164" s="473"/>
      <c r="U164" s="473"/>
      <c r="V164" s="473"/>
      <c r="W164" s="473"/>
    </row>
    <row r="165" spans="1:23" ht="11.25" customHeight="1" x14ac:dyDescent="0.2">
      <c r="A165" s="407" t="str">
        <f>'Org structure'!E18</f>
        <v>2.5 - Supply Chain Management</v>
      </c>
      <c r="B165" s="445"/>
      <c r="C165" s="744"/>
      <c r="D165" s="745"/>
      <c r="E165" s="733"/>
      <c r="F165" s="746"/>
      <c r="G165" s="733"/>
      <c r="H165" s="746"/>
      <c r="I165" s="44">
        <f t="shared" si="19"/>
        <v>0</v>
      </c>
      <c r="J165" s="330" t="str">
        <f t="shared" si="20"/>
        <v/>
      </c>
      <c r="K165" s="747"/>
      <c r="L165" s="48"/>
      <c r="M165" s="473"/>
      <c r="N165" s="473"/>
      <c r="O165" s="473"/>
      <c r="P165" s="473"/>
      <c r="Q165" s="473"/>
      <c r="R165" s="473"/>
      <c r="S165" s="473"/>
      <c r="T165" s="473"/>
      <c r="U165" s="473"/>
      <c r="V165" s="473"/>
      <c r="W165" s="473"/>
    </row>
    <row r="166" spans="1:23" ht="11.25" hidden="1" customHeight="1" x14ac:dyDescent="0.2">
      <c r="A166" s="407">
        <f>'Org structure'!E19</f>
        <v>0</v>
      </c>
      <c r="B166" s="445"/>
      <c r="C166" s="744"/>
      <c r="D166" s="745"/>
      <c r="E166" s="733"/>
      <c r="F166" s="746"/>
      <c r="G166" s="733"/>
      <c r="H166" s="746"/>
      <c r="I166" s="44">
        <f t="shared" si="19"/>
        <v>0</v>
      </c>
      <c r="J166" s="330" t="str">
        <f t="shared" si="20"/>
        <v/>
      </c>
      <c r="K166" s="747"/>
      <c r="L166" s="48"/>
      <c r="M166" s="473"/>
      <c r="N166" s="473"/>
      <c r="O166" s="473"/>
      <c r="P166" s="473"/>
      <c r="Q166" s="473"/>
      <c r="R166" s="473"/>
      <c r="S166" s="473"/>
      <c r="T166" s="473"/>
      <c r="U166" s="473"/>
      <c r="V166" s="473"/>
      <c r="W166" s="473"/>
    </row>
    <row r="167" spans="1:23" ht="11.25" hidden="1" customHeight="1" x14ac:dyDescent="0.2">
      <c r="A167" s="407">
        <f>'Org structure'!E20</f>
        <v>0</v>
      </c>
      <c r="B167" s="445"/>
      <c r="C167" s="744"/>
      <c r="D167" s="745"/>
      <c r="E167" s="733"/>
      <c r="F167" s="746"/>
      <c r="G167" s="733"/>
      <c r="H167" s="746"/>
      <c r="I167" s="44">
        <f t="shared" si="19"/>
        <v>0</v>
      </c>
      <c r="J167" s="330" t="str">
        <f t="shared" si="20"/>
        <v/>
      </c>
      <c r="K167" s="747"/>
      <c r="L167" s="48"/>
      <c r="M167" s="473"/>
      <c r="N167" s="473"/>
      <c r="O167" s="473"/>
      <c r="P167" s="473"/>
      <c r="Q167" s="473"/>
      <c r="R167" s="473"/>
      <c r="S167" s="473"/>
      <c r="T167" s="473"/>
      <c r="U167" s="473"/>
      <c r="V167" s="473"/>
      <c r="W167" s="473"/>
    </row>
    <row r="168" spans="1:23" ht="11.25" hidden="1" customHeight="1" x14ac:dyDescent="0.2">
      <c r="A168" s="407">
        <f>'Org structure'!E21</f>
        <v>0</v>
      </c>
      <c r="B168" s="445"/>
      <c r="C168" s="744"/>
      <c r="D168" s="745"/>
      <c r="E168" s="733"/>
      <c r="F168" s="746"/>
      <c r="G168" s="733"/>
      <c r="H168" s="746"/>
      <c r="I168" s="44">
        <f t="shared" si="19"/>
        <v>0</v>
      </c>
      <c r="J168" s="330" t="str">
        <f t="shared" si="20"/>
        <v/>
      </c>
      <c r="K168" s="747"/>
      <c r="L168" s="48"/>
      <c r="M168" s="473"/>
      <c r="N168" s="473"/>
      <c r="O168" s="473"/>
      <c r="P168" s="473"/>
      <c r="Q168" s="473"/>
      <c r="R168" s="473"/>
      <c r="S168" s="473"/>
      <c r="T168" s="473"/>
      <c r="U168" s="473"/>
      <c r="V168" s="473"/>
      <c r="W168" s="473"/>
    </row>
    <row r="169" spans="1:23" ht="11.25" hidden="1" customHeight="1" x14ac:dyDescent="0.2">
      <c r="A169" s="407">
        <f>'Org structure'!E22</f>
        <v>0</v>
      </c>
      <c r="B169" s="445"/>
      <c r="C169" s="744"/>
      <c r="D169" s="745"/>
      <c r="E169" s="733"/>
      <c r="F169" s="746"/>
      <c r="G169" s="733"/>
      <c r="H169" s="746"/>
      <c r="I169" s="44">
        <f t="shared" si="19"/>
        <v>0</v>
      </c>
      <c r="J169" s="330" t="str">
        <f t="shared" si="20"/>
        <v/>
      </c>
      <c r="K169" s="747"/>
      <c r="L169" s="48"/>
      <c r="M169" s="473"/>
      <c r="N169" s="473"/>
      <c r="O169" s="473"/>
      <c r="P169" s="473"/>
      <c r="Q169" s="473"/>
      <c r="R169" s="473"/>
      <c r="S169" s="473"/>
      <c r="T169" s="473"/>
      <c r="U169" s="473"/>
      <c r="V169" s="473"/>
      <c r="W169" s="473"/>
    </row>
    <row r="170" spans="1:23" ht="11.25" hidden="1" customHeight="1" x14ac:dyDescent="0.2">
      <c r="A170" s="407">
        <f>'Org structure'!E23</f>
        <v>0</v>
      </c>
      <c r="B170" s="445"/>
      <c r="C170" s="744"/>
      <c r="D170" s="745"/>
      <c r="E170" s="733"/>
      <c r="F170" s="746"/>
      <c r="G170" s="733"/>
      <c r="H170" s="746"/>
      <c r="I170" s="44">
        <f t="shared" si="19"/>
        <v>0</v>
      </c>
      <c r="J170" s="330" t="str">
        <f t="shared" si="20"/>
        <v/>
      </c>
      <c r="K170" s="747"/>
      <c r="L170" s="48"/>
      <c r="M170" s="473"/>
      <c r="N170" s="473"/>
      <c r="O170" s="473"/>
      <c r="P170" s="473"/>
      <c r="Q170" s="473"/>
      <c r="R170" s="473"/>
      <c r="S170" s="473"/>
      <c r="T170" s="473"/>
      <c r="U170" s="473"/>
      <c r="V170" s="473"/>
      <c r="W170" s="473"/>
    </row>
    <row r="171" spans="1:23" ht="11.25" customHeight="1" x14ac:dyDescent="0.2">
      <c r="A171" s="466" t="str">
        <f>'Org structure'!A4</f>
        <v>Vote 3 - Community Services and Social Equity</v>
      </c>
      <c r="B171" s="440"/>
      <c r="C171" s="503">
        <f t="shared" ref="C171:K171" si="27">SUM(C172:C181)</f>
        <v>0</v>
      </c>
      <c r="D171" s="444">
        <f t="shared" si="27"/>
        <v>13700000</v>
      </c>
      <c r="E171" s="441">
        <f t="shared" si="27"/>
        <v>0</v>
      </c>
      <c r="F171" s="443">
        <f t="shared" si="27"/>
        <v>3655476</v>
      </c>
      <c r="G171" s="441">
        <f t="shared" si="27"/>
        <v>4336010.5299999993</v>
      </c>
      <c r="H171" s="443">
        <f t="shared" si="27"/>
        <v>3425000</v>
      </c>
      <c r="I171" s="44">
        <f t="shared" si="19"/>
        <v>911010.52999999933</v>
      </c>
      <c r="J171" s="330">
        <f t="shared" si="20"/>
        <v>0.26598847591240854</v>
      </c>
      <c r="K171" s="442">
        <f t="shared" si="27"/>
        <v>13700000</v>
      </c>
      <c r="L171" s="48"/>
      <c r="M171" s="473"/>
      <c r="N171" s="473"/>
      <c r="O171" s="473"/>
      <c r="P171" s="473"/>
      <c r="Q171" s="473"/>
      <c r="R171" s="473"/>
      <c r="S171" s="473"/>
      <c r="T171" s="473"/>
      <c r="U171" s="473"/>
      <c r="V171" s="473"/>
      <c r="W171" s="473"/>
    </row>
    <row r="172" spans="1:23" ht="11.25" customHeight="1" x14ac:dyDescent="0.2">
      <c r="A172" s="407" t="str">
        <f>'Org structure'!E25</f>
        <v xml:space="preserve">3.1 - Area Based Management </v>
      </c>
      <c r="B172" s="445"/>
      <c r="C172" s="744"/>
      <c r="D172" s="745">
        <v>10000000</v>
      </c>
      <c r="E172" s="733"/>
      <c r="F172" s="746">
        <v>3505476</v>
      </c>
      <c r="G172" s="733">
        <v>3505476</v>
      </c>
      <c r="H172" s="746">
        <f>D172/12*3</f>
        <v>2500000</v>
      </c>
      <c r="I172" s="44">
        <f t="shared" si="19"/>
        <v>1005476</v>
      </c>
      <c r="J172" s="330">
        <f t="shared" si="20"/>
        <v>0.4021904</v>
      </c>
      <c r="K172" s="747">
        <f>D172</f>
        <v>10000000</v>
      </c>
      <c r="L172" s="48"/>
      <c r="M172" s="473"/>
      <c r="N172" s="473"/>
      <c r="O172" s="473"/>
      <c r="P172" s="473"/>
      <c r="Q172" s="473"/>
      <c r="R172" s="473"/>
      <c r="S172" s="473"/>
      <c r="T172" s="473"/>
      <c r="U172" s="473"/>
      <c r="V172" s="473"/>
      <c r="W172" s="473"/>
    </row>
    <row r="173" spans="1:23" ht="11.25" customHeight="1" x14ac:dyDescent="0.2">
      <c r="A173" s="407" t="str">
        <f>'Org structure'!E26</f>
        <v>3.2 - Public Safety, Emergency Services and Enforcement</v>
      </c>
      <c r="B173" s="445"/>
      <c r="C173" s="744"/>
      <c r="D173" s="745"/>
      <c r="E173" s="733"/>
      <c r="F173" s="746"/>
      <c r="G173" s="733"/>
      <c r="H173" s="746"/>
      <c r="I173" s="44">
        <f t="shared" ref="I173:I236" si="28">G173-H173</f>
        <v>0</v>
      </c>
      <c r="J173" s="330" t="str">
        <f t="shared" ref="J173:J236" si="29">IF(I173=0,"",I173/H173)</f>
        <v/>
      </c>
      <c r="K173" s="747"/>
      <c r="L173" s="48"/>
      <c r="M173" s="473"/>
      <c r="N173" s="473"/>
      <c r="O173" s="473"/>
      <c r="P173" s="473"/>
      <c r="Q173" s="473"/>
      <c r="R173" s="473"/>
      <c r="S173" s="473"/>
      <c r="T173" s="473"/>
      <c r="U173" s="473"/>
      <c r="V173" s="473"/>
      <c r="W173" s="473"/>
    </row>
    <row r="174" spans="1:23" ht="11.25" customHeight="1" x14ac:dyDescent="0.2">
      <c r="A174" s="407" t="str">
        <f>'Org structure'!E27</f>
        <v>3.3 - Recreation and Facilities</v>
      </c>
      <c r="B174" s="445"/>
      <c r="C174" s="394"/>
      <c r="D174" s="383">
        <v>1200000</v>
      </c>
      <c r="E174" s="384"/>
      <c r="F174" s="472">
        <v>150000</v>
      </c>
      <c r="G174" s="384">
        <v>-701473.12000000011</v>
      </c>
      <c r="H174" s="472">
        <f t="shared" ref="H174:H175" si="30">D174/12*3</f>
        <v>300000</v>
      </c>
      <c r="I174" s="44">
        <f t="shared" si="28"/>
        <v>-1001473.1200000001</v>
      </c>
      <c r="J174" s="330">
        <f t="shared" si="29"/>
        <v>-3.3382437333333339</v>
      </c>
      <c r="K174" s="395">
        <f>D174</f>
        <v>1200000</v>
      </c>
      <c r="L174" s="48"/>
      <c r="M174" s="473"/>
      <c r="N174" s="473"/>
      <c r="O174" s="473"/>
      <c r="P174" s="473"/>
      <c r="Q174" s="473"/>
      <c r="R174" s="473"/>
      <c r="S174" s="473"/>
      <c r="T174" s="473"/>
      <c r="U174" s="473"/>
      <c r="V174" s="473"/>
      <c r="W174" s="473"/>
    </row>
    <row r="175" spans="1:23" ht="11.25" customHeight="1" x14ac:dyDescent="0.2">
      <c r="A175" s="407" t="str">
        <f>'Org structure'!E28</f>
        <v>3.4 - Waste Management</v>
      </c>
      <c r="B175" s="445"/>
      <c r="C175" s="394"/>
      <c r="D175" s="383">
        <v>2500000</v>
      </c>
      <c r="E175" s="384"/>
      <c r="F175" s="472"/>
      <c r="G175" s="384">
        <v>1532007.65</v>
      </c>
      <c r="H175" s="472">
        <f t="shared" si="30"/>
        <v>625000</v>
      </c>
      <c r="I175" s="44">
        <f t="shared" si="28"/>
        <v>907007.64999999991</v>
      </c>
      <c r="J175" s="330">
        <f t="shared" si="29"/>
        <v>1.4512122399999998</v>
      </c>
      <c r="K175" s="395">
        <f>D175</f>
        <v>2500000</v>
      </c>
      <c r="L175" s="48"/>
      <c r="M175" s="473"/>
      <c r="N175" s="473"/>
      <c r="O175" s="473"/>
      <c r="P175" s="473"/>
      <c r="Q175" s="473"/>
      <c r="R175" s="473"/>
      <c r="S175" s="473"/>
      <c r="T175" s="473"/>
      <c r="U175" s="473"/>
      <c r="V175" s="473"/>
      <c r="W175" s="473"/>
    </row>
    <row r="176" spans="1:23" ht="11.25" hidden="1" customHeight="1" x14ac:dyDescent="0.2">
      <c r="A176" s="407">
        <f>'Org structure'!E29</f>
        <v>0</v>
      </c>
      <c r="B176" s="445"/>
      <c r="C176" s="394"/>
      <c r="D176" s="383"/>
      <c r="E176" s="384"/>
      <c r="F176" s="472"/>
      <c r="G176" s="384"/>
      <c r="H176" s="472"/>
      <c r="I176" s="44">
        <f t="shared" si="28"/>
        <v>0</v>
      </c>
      <c r="J176" s="330" t="str">
        <f t="shared" si="29"/>
        <v/>
      </c>
      <c r="K176" s="395"/>
      <c r="L176" s="48"/>
      <c r="M176" s="473"/>
      <c r="N176" s="473"/>
      <c r="O176" s="473"/>
      <c r="P176" s="473"/>
      <c r="Q176" s="473"/>
      <c r="R176" s="473"/>
      <c r="S176" s="473"/>
      <c r="T176" s="473"/>
      <c r="U176" s="473"/>
      <c r="V176" s="473"/>
      <c r="W176" s="473"/>
    </row>
    <row r="177" spans="1:23" ht="11.25" hidden="1" customHeight="1" x14ac:dyDescent="0.2">
      <c r="A177" s="407">
        <f>'Org structure'!E30</f>
        <v>0</v>
      </c>
      <c r="B177" s="445"/>
      <c r="C177" s="394"/>
      <c r="D177" s="383"/>
      <c r="E177" s="384"/>
      <c r="F177" s="472"/>
      <c r="G177" s="384"/>
      <c r="H177" s="472"/>
      <c r="I177" s="44">
        <f t="shared" si="28"/>
        <v>0</v>
      </c>
      <c r="J177" s="330" t="str">
        <f t="shared" si="29"/>
        <v/>
      </c>
      <c r="K177" s="395"/>
      <c r="L177" s="48"/>
      <c r="M177" s="473"/>
      <c r="N177" s="473"/>
      <c r="O177" s="473"/>
      <c r="P177" s="473"/>
      <c r="Q177" s="473"/>
      <c r="R177" s="473"/>
      <c r="S177" s="473"/>
      <c r="T177" s="473"/>
      <c r="U177" s="473"/>
      <c r="V177" s="473"/>
      <c r="W177" s="473"/>
    </row>
    <row r="178" spans="1:23" ht="11.25" hidden="1" customHeight="1" x14ac:dyDescent="0.2">
      <c r="A178" s="407">
        <f>'Org structure'!E31</f>
        <v>0</v>
      </c>
      <c r="B178" s="445"/>
      <c r="C178" s="394"/>
      <c r="D178" s="383"/>
      <c r="E178" s="384"/>
      <c r="F178" s="472"/>
      <c r="G178" s="384"/>
      <c r="H178" s="472"/>
      <c r="I178" s="44">
        <f t="shared" si="28"/>
        <v>0</v>
      </c>
      <c r="J178" s="330" t="str">
        <f t="shared" si="29"/>
        <v/>
      </c>
      <c r="K178" s="395"/>
      <c r="L178" s="48"/>
      <c r="M178" s="473"/>
      <c r="N178" s="473"/>
      <c r="O178" s="473"/>
      <c r="P178" s="473"/>
      <c r="Q178" s="473"/>
      <c r="R178" s="473"/>
      <c r="S178" s="473"/>
      <c r="T178" s="473"/>
      <c r="U178" s="473"/>
      <c r="V178" s="473"/>
      <c r="W178" s="473"/>
    </row>
    <row r="179" spans="1:23" ht="11.25" hidden="1" customHeight="1" x14ac:dyDescent="0.2">
      <c r="A179" s="407">
        <f>'Org structure'!E32</f>
        <v>0</v>
      </c>
      <c r="B179" s="445"/>
      <c r="C179" s="394"/>
      <c r="D179" s="383"/>
      <c r="E179" s="384"/>
      <c r="F179" s="472"/>
      <c r="G179" s="384"/>
      <c r="H179" s="472"/>
      <c r="I179" s="44">
        <f t="shared" si="28"/>
        <v>0</v>
      </c>
      <c r="J179" s="330" t="str">
        <f t="shared" si="29"/>
        <v/>
      </c>
      <c r="K179" s="395"/>
      <c r="L179" s="48"/>
      <c r="M179" s="473"/>
      <c r="N179" s="473"/>
      <c r="O179" s="473"/>
      <c r="P179" s="473"/>
      <c r="Q179" s="473"/>
      <c r="R179" s="473"/>
      <c r="S179" s="473"/>
      <c r="T179" s="473"/>
      <c r="U179" s="473"/>
      <c r="V179" s="473"/>
      <c r="W179" s="473"/>
    </row>
    <row r="180" spans="1:23" ht="11.25" hidden="1" customHeight="1" x14ac:dyDescent="0.2">
      <c r="A180" s="407">
        <f>'Org structure'!E33</f>
        <v>0</v>
      </c>
      <c r="B180" s="445"/>
      <c r="C180" s="394"/>
      <c r="D180" s="383"/>
      <c r="E180" s="384"/>
      <c r="F180" s="472"/>
      <c r="G180" s="384"/>
      <c r="H180" s="472"/>
      <c r="I180" s="44">
        <f t="shared" si="28"/>
        <v>0</v>
      </c>
      <c r="J180" s="330" t="str">
        <f t="shared" si="29"/>
        <v/>
      </c>
      <c r="K180" s="395"/>
      <c r="L180" s="48"/>
      <c r="M180" s="473"/>
      <c r="N180" s="473"/>
      <c r="O180" s="473"/>
      <c r="P180" s="473"/>
      <c r="Q180" s="473"/>
      <c r="R180" s="473"/>
      <c r="S180" s="473"/>
      <c r="T180" s="473"/>
      <c r="U180" s="473"/>
      <c r="V180" s="473"/>
      <c r="W180" s="473"/>
    </row>
    <row r="181" spans="1:23" ht="11.25" hidden="1" customHeight="1" x14ac:dyDescent="0.2">
      <c r="A181" s="407">
        <f>'Org structure'!E34</f>
        <v>0</v>
      </c>
      <c r="B181" s="445"/>
      <c r="C181" s="394"/>
      <c r="D181" s="383"/>
      <c r="E181" s="384"/>
      <c r="F181" s="472"/>
      <c r="G181" s="384"/>
      <c r="H181" s="472"/>
      <c r="I181" s="44">
        <f t="shared" si="28"/>
        <v>0</v>
      </c>
      <c r="J181" s="330" t="str">
        <f t="shared" si="29"/>
        <v/>
      </c>
      <c r="K181" s="395"/>
      <c r="L181" s="48"/>
      <c r="M181" s="473"/>
      <c r="N181" s="473"/>
      <c r="O181" s="473"/>
      <c r="P181" s="473"/>
      <c r="Q181" s="473"/>
      <c r="R181" s="473"/>
      <c r="S181" s="473"/>
      <c r="T181" s="473"/>
      <c r="U181" s="473"/>
      <c r="V181" s="473"/>
      <c r="W181" s="473"/>
    </row>
    <row r="182" spans="1:23" ht="11.25" customHeight="1" x14ac:dyDescent="0.2">
      <c r="A182" s="466" t="str">
        <f>'Org structure'!A5</f>
        <v>Vote 4 - Corporate Services</v>
      </c>
      <c r="B182" s="440"/>
      <c r="C182" s="503">
        <f t="shared" ref="C182:K182" si="31">SUM(C183:C192)</f>
        <v>0</v>
      </c>
      <c r="D182" s="444">
        <f t="shared" si="31"/>
        <v>0</v>
      </c>
      <c r="E182" s="441">
        <f t="shared" si="31"/>
        <v>0</v>
      </c>
      <c r="F182" s="443">
        <f t="shared" si="31"/>
        <v>0</v>
      </c>
      <c r="G182" s="441">
        <f t="shared" si="31"/>
        <v>0</v>
      </c>
      <c r="H182" s="443">
        <f t="shared" si="31"/>
        <v>0</v>
      </c>
      <c r="I182" s="44">
        <f t="shared" si="28"/>
        <v>0</v>
      </c>
      <c r="J182" s="330" t="str">
        <f t="shared" si="29"/>
        <v/>
      </c>
      <c r="K182" s="442">
        <f t="shared" si="31"/>
        <v>0</v>
      </c>
      <c r="L182" s="48"/>
      <c r="M182" s="473"/>
      <c r="N182" s="473"/>
      <c r="O182" s="473"/>
      <c r="P182" s="473"/>
      <c r="Q182" s="473"/>
      <c r="R182" s="473"/>
      <c r="S182" s="473"/>
      <c r="T182" s="473"/>
      <c r="U182" s="473"/>
      <c r="V182" s="473"/>
      <c r="W182" s="473"/>
    </row>
    <row r="183" spans="1:23" ht="11.25" customHeight="1" x14ac:dyDescent="0.2">
      <c r="A183" s="407" t="str">
        <f>'Org structure'!E36</f>
        <v>4.1 - Human Resources Management</v>
      </c>
      <c r="B183" s="445"/>
      <c r="C183" s="394"/>
      <c r="D183" s="383"/>
      <c r="E183" s="384"/>
      <c r="F183" s="472"/>
      <c r="G183" s="384"/>
      <c r="H183" s="472"/>
      <c r="I183" s="44">
        <f t="shared" si="28"/>
        <v>0</v>
      </c>
      <c r="J183" s="330" t="str">
        <f t="shared" si="29"/>
        <v/>
      </c>
      <c r="K183" s="395"/>
      <c r="L183" s="48"/>
      <c r="M183" s="473"/>
      <c r="N183" s="473"/>
      <c r="O183" s="473"/>
      <c r="P183" s="473"/>
      <c r="Q183" s="473"/>
      <c r="R183" s="473"/>
      <c r="S183" s="473"/>
      <c r="T183" s="473"/>
      <c r="U183" s="473"/>
      <c r="V183" s="473"/>
      <c r="W183" s="473"/>
    </row>
    <row r="184" spans="1:23" ht="11.25" customHeight="1" x14ac:dyDescent="0.2">
      <c r="A184" s="407" t="str">
        <f>'Org structure'!E37</f>
        <v>4.2 - Information Technology</v>
      </c>
      <c r="B184" s="445"/>
      <c r="C184" s="394"/>
      <c r="D184" s="383"/>
      <c r="E184" s="384"/>
      <c r="F184" s="472"/>
      <c r="G184" s="384"/>
      <c r="H184" s="472"/>
      <c r="I184" s="44">
        <f t="shared" si="28"/>
        <v>0</v>
      </c>
      <c r="J184" s="330" t="str">
        <f t="shared" si="29"/>
        <v/>
      </c>
      <c r="K184" s="395"/>
      <c r="L184" s="48"/>
      <c r="M184" s="473"/>
      <c r="N184" s="473"/>
      <c r="O184" s="473"/>
      <c r="P184" s="473"/>
      <c r="Q184" s="473"/>
      <c r="R184" s="473"/>
      <c r="S184" s="473"/>
      <c r="T184" s="473"/>
      <c r="U184" s="473"/>
      <c r="V184" s="473"/>
      <c r="W184" s="473"/>
    </row>
    <row r="185" spans="1:23" ht="11.25" customHeight="1" x14ac:dyDescent="0.2">
      <c r="A185" s="407" t="str">
        <f>'Org structure'!E38</f>
        <v>4.3 - Legal Services</v>
      </c>
      <c r="B185" s="445"/>
      <c r="C185" s="394"/>
      <c r="D185" s="383"/>
      <c r="E185" s="384"/>
      <c r="F185" s="472"/>
      <c r="G185" s="384"/>
      <c r="H185" s="472"/>
      <c r="I185" s="44">
        <f t="shared" si="28"/>
        <v>0</v>
      </c>
      <c r="J185" s="330" t="str">
        <f t="shared" si="29"/>
        <v/>
      </c>
      <c r="K185" s="395"/>
      <c r="L185" s="48"/>
      <c r="M185" s="473"/>
      <c r="N185" s="473"/>
      <c r="O185" s="473"/>
      <c r="P185" s="473"/>
      <c r="Q185" s="473"/>
      <c r="R185" s="473"/>
      <c r="S185" s="473"/>
      <c r="T185" s="473"/>
      <c r="U185" s="473"/>
      <c r="V185" s="473"/>
      <c r="W185" s="473"/>
    </row>
    <row r="186" spans="1:23" ht="11.25" customHeight="1" x14ac:dyDescent="0.2">
      <c r="A186" s="407" t="str">
        <f>'Org structure'!E39</f>
        <v>4.4 - Secretariat and Auxiliary Services</v>
      </c>
      <c r="B186" s="445"/>
      <c r="C186" s="394"/>
      <c r="D186" s="383"/>
      <c r="E186" s="384"/>
      <c r="F186" s="472"/>
      <c r="G186" s="384"/>
      <c r="H186" s="472"/>
      <c r="I186" s="44">
        <f t="shared" si="28"/>
        <v>0</v>
      </c>
      <c r="J186" s="330" t="str">
        <f t="shared" si="29"/>
        <v/>
      </c>
      <c r="K186" s="395"/>
      <c r="L186" s="48"/>
      <c r="M186" s="473"/>
      <c r="N186" s="473"/>
      <c r="O186" s="473"/>
      <c r="P186" s="473"/>
      <c r="Q186" s="473"/>
      <c r="R186" s="473"/>
      <c r="S186" s="473"/>
      <c r="T186" s="473"/>
      <c r="U186" s="473"/>
      <c r="V186" s="473"/>
      <c r="W186" s="473"/>
    </row>
    <row r="187" spans="1:23" ht="11.25" customHeight="1" x14ac:dyDescent="0.2">
      <c r="A187" s="407" t="str">
        <f>'Org structure'!E40</f>
        <v>4.5 - General Manager: Corporate Service</v>
      </c>
      <c r="B187" s="445"/>
      <c r="C187" s="394"/>
      <c r="D187" s="383"/>
      <c r="E187" s="384"/>
      <c r="F187" s="472"/>
      <c r="G187" s="384"/>
      <c r="H187" s="472"/>
      <c r="I187" s="44">
        <f t="shared" si="28"/>
        <v>0</v>
      </c>
      <c r="J187" s="330" t="str">
        <f t="shared" si="29"/>
        <v/>
      </c>
      <c r="K187" s="395"/>
      <c r="L187" s="48"/>
      <c r="M187" s="473"/>
      <c r="N187" s="473"/>
      <c r="O187" s="473"/>
      <c r="P187" s="473"/>
      <c r="Q187" s="473"/>
      <c r="R187" s="473"/>
      <c r="S187" s="473"/>
      <c r="T187" s="473"/>
      <c r="U187" s="473"/>
      <c r="V187" s="473"/>
      <c r="W187" s="473"/>
    </row>
    <row r="188" spans="1:23" ht="11.25" hidden="1" customHeight="1" x14ac:dyDescent="0.2">
      <c r="A188" s="407">
        <f>'Org structure'!E41</f>
        <v>0</v>
      </c>
      <c r="B188" s="445"/>
      <c r="C188" s="394"/>
      <c r="D188" s="383"/>
      <c r="E188" s="384"/>
      <c r="F188" s="472"/>
      <c r="G188" s="384"/>
      <c r="H188" s="472"/>
      <c r="I188" s="44">
        <f t="shared" si="28"/>
        <v>0</v>
      </c>
      <c r="J188" s="330" t="str">
        <f t="shared" si="29"/>
        <v/>
      </c>
      <c r="K188" s="395"/>
      <c r="L188" s="48"/>
      <c r="M188" s="473"/>
      <c r="N188" s="473"/>
      <c r="O188" s="473"/>
      <c r="P188" s="473"/>
      <c r="Q188" s="473"/>
      <c r="R188" s="473"/>
      <c r="S188" s="473"/>
      <c r="T188" s="473"/>
      <c r="U188" s="473"/>
      <c r="V188" s="473"/>
      <c r="W188" s="473"/>
    </row>
    <row r="189" spans="1:23" ht="11.25" hidden="1" customHeight="1" x14ac:dyDescent="0.2">
      <c r="A189" s="407">
        <f>'Org structure'!E42</f>
        <v>0</v>
      </c>
      <c r="B189" s="445"/>
      <c r="C189" s="394"/>
      <c r="D189" s="383"/>
      <c r="E189" s="384"/>
      <c r="F189" s="472"/>
      <c r="G189" s="384"/>
      <c r="H189" s="472"/>
      <c r="I189" s="44">
        <f t="shared" si="28"/>
        <v>0</v>
      </c>
      <c r="J189" s="330" t="str">
        <f t="shared" si="29"/>
        <v/>
      </c>
      <c r="K189" s="395"/>
      <c r="L189" s="48"/>
      <c r="M189" s="473"/>
      <c r="N189" s="473"/>
      <c r="O189" s="473"/>
      <c r="P189" s="473"/>
      <c r="Q189" s="473"/>
      <c r="R189" s="473"/>
      <c r="S189" s="473"/>
      <c r="T189" s="473"/>
      <c r="U189" s="473"/>
      <c r="V189" s="473"/>
      <c r="W189" s="473"/>
    </row>
    <row r="190" spans="1:23" ht="11.25" hidden="1" customHeight="1" x14ac:dyDescent="0.2">
      <c r="A190" s="407">
        <f>'Org structure'!E43</f>
        <v>0</v>
      </c>
      <c r="B190" s="445"/>
      <c r="C190" s="394"/>
      <c r="D190" s="383"/>
      <c r="E190" s="384"/>
      <c r="F190" s="472"/>
      <c r="G190" s="384"/>
      <c r="H190" s="472"/>
      <c r="I190" s="44">
        <f t="shared" si="28"/>
        <v>0</v>
      </c>
      <c r="J190" s="330" t="str">
        <f t="shared" si="29"/>
        <v/>
      </c>
      <c r="K190" s="395"/>
      <c r="L190" s="48"/>
      <c r="M190" s="473"/>
      <c r="N190" s="473"/>
      <c r="O190" s="473"/>
      <c r="P190" s="473"/>
      <c r="Q190" s="473"/>
      <c r="R190" s="473"/>
      <c r="S190" s="473"/>
      <c r="T190" s="473"/>
      <c r="U190" s="473"/>
      <c r="V190" s="473"/>
      <c r="W190" s="473"/>
    </row>
    <row r="191" spans="1:23" ht="11.25" hidden="1" customHeight="1" x14ac:dyDescent="0.2">
      <c r="A191" s="407">
        <f>'Org structure'!E44</f>
        <v>0</v>
      </c>
      <c r="B191" s="445"/>
      <c r="C191" s="394"/>
      <c r="D191" s="383"/>
      <c r="E191" s="384"/>
      <c r="F191" s="472"/>
      <c r="G191" s="384"/>
      <c r="H191" s="472"/>
      <c r="I191" s="44">
        <f t="shared" si="28"/>
        <v>0</v>
      </c>
      <c r="J191" s="330" t="str">
        <f t="shared" si="29"/>
        <v/>
      </c>
      <c r="K191" s="395"/>
      <c r="L191" s="48"/>
      <c r="M191" s="473"/>
      <c r="N191" s="473"/>
      <c r="O191" s="473"/>
      <c r="P191" s="473"/>
      <c r="Q191" s="473"/>
      <c r="R191" s="473"/>
      <c r="S191" s="473"/>
      <c r="T191" s="473"/>
      <c r="U191" s="473"/>
      <c r="V191" s="473"/>
      <c r="W191" s="473"/>
    </row>
    <row r="192" spans="1:23" ht="11.25" hidden="1" customHeight="1" x14ac:dyDescent="0.2">
      <c r="A192" s="407">
        <f>'Org structure'!E45</f>
        <v>0</v>
      </c>
      <c r="B192" s="445"/>
      <c r="C192" s="394"/>
      <c r="D192" s="383"/>
      <c r="E192" s="384"/>
      <c r="F192" s="472"/>
      <c r="G192" s="384"/>
      <c r="H192" s="472"/>
      <c r="I192" s="44">
        <f t="shared" si="28"/>
        <v>0</v>
      </c>
      <c r="J192" s="330" t="str">
        <f t="shared" si="29"/>
        <v/>
      </c>
      <c r="K192" s="395"/>
      <c r="L192" s="48"/>
      <c r="M192" s="473"/>
      <c r="N192" s="473"/>
      <c r="O192" s="473"/>
      <c r="P192" s="473"/>
      <c r="Q192" s="473"/>
      <c r="R192" s="473"/>
      <c r="S192" s="473"/>
      <c r="T192" s="473"/>
      <c r="U192" s="473"/>
      <c r="V192" s="473"/>
      <c r="W192" s="473"/>
    </row>
    <row r="193" spans="1:23" ht="11.25" customHeight="1" x14ac:dyDescent="0.2">
      <c r="A193" s="466" t="str">
        <f>'Org structure'!A6</f>
        <v>Vote 5 - Infrastructure Services</v>
      </c>
      <c r="B193" s="440"/>
      <c r="C193" s="503">
        <f t="shared" ref="C193:K193" si="32">SUM(C194:C203)</f>
        <v>0</v>
      </c>
      <c r="D193" s="444">
        <f t="shared" si="32"/>
        <v>33000000</v>
      </c>
      <c r="E193" s="441">
        <f t="shared" si="32"/>
        <v>0</v>
      </c>
      <c r="F193" s="443">
        <f t="shared" si="32"/>
        <v>15183866.609999999</v>
      </c>
      <c r="G193" s="441">
        <f t="shared" si="32"/>
        <v>37362644.670000002</v>
      </c>
      <c r="H193" s="443">
        <f t="shared" si="32"/>
        <v>8250000</v>
      </c>
      <c r="I193" s="44">
        <f t="shared" si="28"/>
        <v>29112644.670000002</v>
      </c>
      <c r="J193" s="330">
        <f t="shared" si="29"/>
        <v>3.5288054145454546</v>
      </c>
      <c r="K193" s="442">
        <f t="shared" si="32"/>
        <v>33000000</v>
      </c>
      <c r="L193" s="48"/>
      <c r="M193" s="473"/>
      <c r="N193" s="473"/>
      <c r="O193" s="473"/>
      <c r="P193" s="473"/>
      <c r="Q193" s="473"/>
      <c r="R193" s="473"/>
      <c r="S193" s="473"/>
      <c r="T193" s="473"/>
      <c r="U193" s="473"/>
      <c r="V193" s="473"/>
      <c r="W193" s="473"/>
    </row>
    <row r="194" spans="1:23" ht="11.25" customHeight="1" x14ac:dyDescent="0.2">
      <c r="A194" s="407" t="str">
        <f>'Org structure'!E47</f>
        <v>5.1 - Electricity</v>
      </c>
      <c r="B194" s="445"/>
      <c r="C194" s="394"/>
      <c r="D194" s="383">
        <v>9500000</v>
      </c>
      <c r="E194" s="384"/>
      <c r="F194" s="472">
        <v>8000000</v>
      </c>
      <c r="G194" s="384">
        <v>8000000</v>
      </c>
      <c r="H194" s="472">
        <f t="shared" ref="H194" si="33">D194/12*3</f>
        <v>2375000</v>
      </c>
      <c r="I194" s="44">
        <f t="shared" si="28"/>
        <v>5625000</v>
      </c>
      <c r="J194" s="330">
        <f t="shared" si="29"/>
        <v>2.3684210526315788</v>
      </c>
      <c r="K194" s="395">
        <f>D194</f>
        <v>9500000</v>
      </c>
      <c r="L194" s="48"/>
      <c r="M194" s="473"/>
      <c r="N194" s="473"/>
      <c r="O194" s="473"/>
      <c r="P194" s="473"/>
      <c r="Q194" s="473"/>
      <c r="R194" s="473"/>
      <c r="S194" s="473"/>
      <c r="T194" s="473"/>
      <c r="U194" s="473"/>
      <c r="V194" s="473"/>
      <c r="W194" s="473"/>
    </row>
    <row r="195" spans="1:23" ht="11.25" customHeight="1" x14ac:dyDescent="0.2">
      <c r="A195" s="407" t="str">
        <f>'Org structure'!E48</f>
        <v>5.2 - Project Management Office</v>
      </c>
      <c r="B195" s="445"/>
      <c r="C195" s="394"/>
      <c r="D195" s="383"/>
      <c r="E195" s="384"/>
      <c r="F195" s="472">
        <v>2296954.0099999998</v>
      </c>
      <c r="G195" s="384">
        <v>2296954.0099999998</v>
      </c>
      <c r="H195" s="472"/>
      <c r="I195" s="44">
        <f t="shared" si="28"/>
        <v>2296954.0099999998</v>
      </c>
      <c r="J195" s="330" t="e">
        <f t="shared" si="29"/>
        <v>#DIV/0!</v>
      </c>
      <c r="K195" s="395"/>
      <c r="L195" s="48"/>
      <c r="M195" s="473"/>
      <c r="N195" s="473"/>
      <c r="O195" s="473"/>
      <c r="P195" s="473"/>
      <c r="Q195" s="473"/>
      <c r="R195" s="473"/>
      <c r="S195" s="473"/>
      <c r="T195" s="473"/>
      <c r="U195" s="473"/>
      <c r="V195" s="473"/>
      <c r="W195" s="473"/>
    </row>
    <row r="196" spans="1:23" ht="11.25" customHeight="1" x14ac:dyDescent="0.2">
      <c r="A196" s="407" t="str">
        <f>'Org structure'!E49</f>
        <v>5.3 - Roads and Transportation</v>
      </c>
      <c r="B196" s="445"/>
      <c r="C196" s="394"/>
      <c r="D196" s="383"/>
      <c r="E196" s="384"/>
      <c r="F196" s="472"/>
      <c r="G196" s="384">
        <v>211619.47</v>
      </c>
      <c r="H196" s="472"/>
      <c r="I196" s="44">
        <f t="shared" si="28"/>
        <v>211619.47</v>
      </c>
      <c r="J196" s="330" t="e">
        <f t="shared" si="29"/>
        <v>#DIV/0!</v>
      </c>
      <c r="K196" s="395"/>
      <c r="L196" s="48"/>
      <c r="M196" s="473"/>
      <c r="N196" s="473"/>
      <c r="O196" s="473"/>
      <c r="P196" s="473"/>
      <c r="Q196" s="473"/>
      <c r="R196" s="473"/>
      <c r="S196" s="473"/>
      <c r="T196" s="473"/>
      <c r="U196" s="473"/>
      <c r="V196" s="473"/>
      <c r="W196" s="473"/>
    </row>
    <row r="197" spans="1:23" ht="11.25" customHeight="1" x14ac:dyDescent="0.2">
      <c r="A197" s="407" t="str">
        <f>'Org structure'!E50</f>
        <v>5.4 - Water and Sanitation</v>
      </c>
      <c r="B197" s="445"/>
      <c r="C197" s="394"/>
      <c r="D197" s="383">
        <v>23500000</v>
      </c>
      <c r="E197" s="384"/>
      <c r="F197" s="472">
        <v>4886912.5999999996</v>
      </c>
      <c r="G197" s="384">
        <v>26854071.190000001</v>
      </c>
      <c r="H197" s="472">
        <f t="shared" ref="H197" si="34">D197/12*3</f>
        <v>5875000</v>
      </c>
      <c r="I197" s="44">
        <f t="shared" si="28"/>
        <v>20979071.190000001</v>
      </c>
      <c r="J197" s="330">
        <f t="shared" si="29"/>
        <v>3.5709057344680852</v>
      </c>
      <c r="K197" s="395">
        <f>D197</f>
        <v>23500000</v>
      </c>
      <c r="L197" s="48"/>
      <c r="M197" s="473"/>
      <c r="N197" s="473"/>
      <c r="O197" s="473"/>
      <c r="P197" s="473"/>
      <c r="Q197" s="473"/>
      <c r="R197" s="473"/>
      <c r="S197" s="473"/>
      <c r="T197" s="473"/>
      <c r="U197" s="473"/>
      <c r="V197" s="473"/>
      <c r="W197" s="473"/>
    </row>
    <row r="198" spans="1:23" ht="11.25" customHeight="1" x14ac:dyDescent="0.2">
      <c r="A198" s="407" t="str">
        <f>'Org structure'!E51</f>
        <v xml:space="preserve">5.5 - General Manager: Infrastructure </v>
      </c>
      <c r="B198" s="445"/>
      <c r="C198" s="394"/>
      <c r="D198" s="383"/>
      <c r="E198" s="384"/>
      <c r="F198" s="472"/>
      <c r="G198" s="384"/>
      <c r="H198" s="472"/>
      <c r="I198" s="44">
        <f t="shared" si="28"/>
        <v>0</v>
      </c>
      <c r="J198" s="330" t="str">
        <f t="shared" si="29"/>
        <v/>
      </c>
      <c r="K198" s="395"/>
      <c r="L198" s="48"/>
      <c r="M198" s="473"/>
      <c r="N198" s="473"/>
      <c r="O198" s="473"/>
      <c r="P198" s="473"/>
      <c r="Q198" s="473"/>
      <c r="R198" s="473"/>
      <c r="S198" s="473"/>
      <c r="T198" s="473"/>
      <c r="U198" s="473"/>
      <c r="V198" s="473"/>
      <c r="W198" s="473"/>
    </row>
    <row r="199" spans="1:23" ht="11.25" hidden="1" customHeight="1" x14ac:dyDescent="0.2">
      <c r="A199" s="407">
        <f>'Org structure'!E52</f>
        <v>0</v>
      </c>
      <c r="B199" s="445"/>
      <c r="C199" s="394"/>
      <c r="D199" s="383"/>
      <c r="E199" s="384"/>
      <c r="F199" s="472"/>
      <c r="G199" s="384"/>
      <c r="H199" s="472"/>
      <c r="I199" s="44">
        <f t="shared" si="28"/>
        <v>0</v>
      </c>
      <c r="J199" s="330" t="str">
        <f t="shared" si="29"/>
        <v/>
      </c>
      <c r="K199" s="395"/>
      <c r="L199" s="48"/>
      <c r="M199" s="473"/>
      <c r="N199" s="473"/>
      <c r="O199" s="473"/>
      <c r="P199" s="473"/>
      <c r="Q199" s="473"/>
      <c r="R199" s="473"/>
      <c r="S199" s="473"/>
      <c r="T199" s="473"/>
      <c r="U199" s="473"/>
      <c r="V199" s="473"/>
      <c r="W199" s="473"/>
    </row>
    <row r="200" spans="1:23" ht="11.25" hidden="1" customHeight="1" x14ac:dyDescent="0.2">
      <c r="A200" s="407">
        <f>'Org structure'!E53</f>
        <v>0</v>
      </c>
      <c r="B200" s="445"/>
      <c r="C200" s="394"/>
      <c r="D200" s="383"/>
      <c r="E200" s="384"/>
      <c r="F200" s="472"/>
      <c r="G200" s="384"/>
      <c r="H200" s="472"/>
      <c r="I200" s="44">
        <f t="shared" si="28"/>
        <v>0</v>
      </c>
      <c r="J200" s="330" t="str">
        <f t="shared" si="29"/>
        <v/>
      </c>
      <c r="K200" s="395"/>
      <c r="L200" s="48"/>
      <c r="M200" s="473"/>
      <c r="N200" s="473"/>
      <c r="O200" s="473"/>
      <c r="P200" s="473"/>
      <c r="Q200" s="473"/>
      <c r="R200" s="473"/>
      <c r="S200" s="473"/>
      <c r="T200" s="473"/>
      <c r="U200" s="473"/>
      <c r="V200" s="473"/>
      <c r="W200" s="473"/>
    </row>
    <row r="201" spans="1:23" ht="11.25" hidden="1" customHeight="1" x14ac:dyDescent="0.2">
      <c r="A201" s="407">
        <f>'Org structure'!E54</f>
        <v>0</v>
      </c>
      <c r="B201" s="445"/>
      <c r="C201" s="394"/>
      <c r="D201" s="383"/>
      <c r="E201" s="384"/>
      <c r="F201" s="472"/>
      <c r="G201" s="384"/>
      <c r="H201" s="472"/>
      <c r="I201" s="44">
        <f t="shared" si="28"/>
        <v>0</v>
      </c>
      <c r="J201" s="330" t="str">
        <f t="shared" si="29"/>
        <v/>
      </c>
      <c r="K201" s="395"/>
      <c r="L201" s="48"/>
      <c r="M201" s="473"/>
      <c r="N201" s="473"/>
      <c r="O201" s="473"/>
      <c r="P201" s="473"/>
      <c r="Q201" s="473"/>
      <c r="R201" s="473"/>
      <c r="S201" s="473"/>
      <c r="T201" s="473"/>
      <c r="U201" s="473"/>
      <c r="V201" s="473"/>
      <c r="W201" s="473"/>
    </row>
    <row r="202" spans="1:23" ht="11.25" hidden="1" customHeight="1" x14ac:dyDescent="0.2">
      <c r="A202" s="407">
        <f>'Org structure'!E55</f>
        <v>0</v>
      </c>
      <c r="B202" s="445"/>
      <c r="C202" s="394"/>
      <c r="D202" s="383"/>
      <c r="E202" s="384"/>
      <c r="F202" s="472"/>
      <c r="G202" s="384"/>
      <c r="H202" s="472"/>
      <c r="I202" s="44">
        <f t="shared" si="28"/>
        <v>0</v>
      </c>
      <c r="J202" s="330" t="str">
        <f t="shared" si="29"/>
        <v/>
      </c>
      <c r="K202" s="395"/>
      <c r="L202" s="48"/>
      <c r="M202" s="473"/>
      <c r="N202" s="473"/>
      <c r="O202" s="473"/>
      <c r="P202" s="473"/>
      <c r="Q202" s="473"/>
      <c r="R202" s="473"/>
      <c r="S202" s="473"/>
      <c r="T202" s="473"/>
      <c r="U202" s="473"/>
      <c r="V202" s="473"/>
      <c r="W202" s="473"/>
    </row>
    <row r="203" spans="1:23" ht="11.25" hidden="1" customHeight="1" x14ac:dyDescent="0.2">
      <c r="A203" s="407">
        <f>'Org structure'!E56</f>
        <v>0</v>
      </c>
      <c r="B203" s="445"/>
      <c r="C203" s="394"/>
      <c r="D203" s="383"/>
      <c r="E203" s="384"/>
      <c r="F203" s="472"/>
      <c r="G203" s="384"/>
      <c r="H203" s="472"/>
      <c r="I203" s="44">
        <f t="shared" si="28"/>
        <v>0</v>
      </c>
      <c r="J203" s="330" t="str">
        <f t="shared" si="29"/>
        <v/>
      </c>
      <c r="K203" s="395"/>
      <c r="L203" s="48"/>
      <c r="M203" s="473"/>
      <c r="N203" s="473"/>
      <c r="O203" s="473"/>
      <c r="P203" s="473"/>
      <c r="Q203" s="473"/>
      <c r="R203" s="473"/>
      <c r="S203" s="473"/>
      <c r="T203" s="473"/>
      <c r="U203" s="473"/>
      <c r="V203" s="473"/>
      <c r="W203" s="473"/>
    </row>
    <row r="204" spans="1:23" ht="11.25" customHeight="1" x14ac:dyDescent="0.2">
      <c r="A204" s="466" t="str">
        <f>'Org structure'!A7</f>
        <v>Vote 6 - Sustainable Development and City Enterprises</v>
      </c>
      <c r="B204" s="440"/>
      <c r="C204" s="503">
        <f t="shared" ref="C204:K204" si="35">SUM(C205:C214)</f>
        <v>0</v>
      </c>
      <c r="D204" s="444">
        <f t="shared" si="35"/>
        <v>10024000</v>
      </c>
      <c r="E204" s="441">
        <f t="shared" si="35"/>
        <v>0</v>
      </c>
      <c r="F204" s="443">
        <f t="shared" si="35"/>
        <v>0</v>
      </c>
      <c r="G204" s="441">
        <f t="shared" si="35"/>
        <v>-1082623.3999999999</v>
      </c>
      <c r="H204" s="443">
        <f t="shared" si="35"/>
        <v>2506000</v>
      </c>
      <c r="I204" s="44">
        <f t="shared" si="28"/>
        <v>-3588623.4</v>
      </c>
      <c r="J204" s="330">
        <f t="shared" si="29"/>
        <v>-1.4320125299281723</v>
      </c>
      <c r="K204" s="442">
        <f t="shared" si="35"/>
        <v>10024000</v>
      </c>
      <c r="L204" s="48"/>
      <c r="M204" s="473"/>
      <c r="N204" s="473"/>
      <c r="O204" s="473"/>
      <c r="P204" s="473"/>
      <c r="Q204" s="473"/>
      <c r="R204" s="473"/>
      <c r="S204" s="473"/>
      <c r="T204" s="473"/>
      <c r="U204" s="473"/>
      <c r="V204" s="473"/>
      <c r="W204" s="473"/>
    </row>
    <row r="205" spans="1:23" ht="11.25" customHeight="1" x14ac:dyDescent="0.2">
      <c r="A205" s="407" t="str">
        <f>'Org structure'!E58</f>
        <v>6.1 - City Entities</v>
      </c>
      <c r="B205" s="445"/>
      <c r="C205" s="394"/>
      <c r="D205" s="383">
        <v>774000</v>
      </c>
      <c r="E205" s="384"/>
      <c r="F205" s="472"/>
      <c r="G205" s="384">
        <v>-1082623.3999999999</v>
      </c>
      <c r="H205" s="472">
        <f t="shared" ref="H205:H207" si="36">D205/12*3</f>
        <v>193500</v>
      </c>
      <c r="I205" s="44">
        <f t="shared" si="28"/>
        <v>-1276123.3999999999</v>
      </c>
      <c r="J205" s="330">
        <f t="shared" si="29"/>
        <v>-6.5949529715762267</v>
      </c>
      <c r="K205" s="395">
        <f>D205</f>
        <v>774000</v>
      </c>
      <c r="L205" s="48"/>
      <c r="M205" s="473"/>
      <c r="N205" s="473"/>
      <c r="O205" s="473"/>
      <c r="P205" s="473"/>
      <c r="Q205" s="473"/>
      <c r="R205" s="473"/>
      <c r="S205" s="473"/>
      <c r="T205" s="473"/>
      <c r="U205" s="473"/>
      <c r="V205" s="473"/>
      <c r="W205" s="473"/>
    </row>
    <row r="206" spans="1:23" ht="11.25" customHeight="1" x14ac:dyDescent="0.2">
      <c r="A206" s="407" t="str">
        <f>'Org structure'!E59</f>
        <v>6.2 - Development Services</v>
      </c>
      <c r="B206" s="445"/>
      <c r="C206" s="394"/>
      <c r="D206" s="383">
        <v>2500000</v>
      </c>
      <c r="E206" s="384"/>
      <c r="F206" s="472"/>
      <c r="G206" s="384"/>
      <c r="H206" s="472">
        <f t="shared" si="36"/>
        <v>625000</v>
      </c>
      <c r="I206" s="44">
        <f t="shared" si="28"/>
        <v>-625000</v>
      </c>
      <c r="J206" s="330">
        <f t="shared" si="29"/>
        <v>-1</v>
      </c>
      <c r="K206" s="395">
        <f>D206</f>
        <v>2500000</v>
      </c>
      <c r="L206" s="48"/>
      <c r="M206" s="473"/>
      <c r="N206" s="473"/>
      <c r="O206" s="473"/>
      <c r="P206" s="473"/>
      <c r="Q206" s="473"/>
      <c r="R206" s="473"/>
      <c r="S206" s="473"/>
      <c r="T206" s="473"/>
      <c r="U206" s="473"/>
      <c r="V206" s="473"/>
      <c r="W206" s="473"/>
    </row>
    <row r="207" spans="1:23" ht="11.25" customHeight="1" x14ac:dyDescent="0.2">
      <c r="A207" s="407" t="str">
        <f>'Org structure'!E60</f>
        <v>6.3 - Human Settlement Development</v>
      </c>
      <c r="B207" s="445"/>
      <c r="C207" s="394"/>
      <c r="D207" s="383">
        <v>6750000</v>
      </c>
      <c r="E207" s="384"/>
      <c r="F207" s="472"/>
      <c r="G207" s="384"/>
      <c r="H207" s="472">
        <f t="shared" si="36"/>
        <v>1687500</v>
      </c>
      <c r="I207" s="44">
        <f t="shared" si="28"/>
        <v>-1687500</v>
      </c>
      <c r="J207" s="330">
        <f t="shared" si="29"/>
        <v>-1</v>
      </c>
      <c r="K207" s="395">
        <f>D207</f>
        <v>6750000</v>
      </c>
      <c r="L207" s="48"/>
      <c r="M207" s="473"/>
      <c r="N207" s="473"/>
      <c r="O207" s="473"/>
      <c r="P207" s="473"/>
      <c r="Q207" s="473"/>
      <c r="R207" s="473"/>
      <c r="S207" s="473"/>
      <c r="T207" s="473"/>
      <c r="U207" s="473"/>
      <c r="V207" s="473"/>
      <c r="W207" s="473"/>
    </row>
    <row r="208" spans="1:23" ht="11.25" customHeight="1" x14ac:dyDescent="0.2">
      <c r="A208" s="407" t="str">
        <f>'Org structure'!E61</f>
        <v>6.4 - Town Planning</v>
      </c>
      <c r="B208" s="445"/>
      <c r="C208" s="394"/>
      <c r="D208" s="383"/>
      <c r="E208" s="384"/>
      <c r="F208" s="472"/>
      <c r="G208" s="384"/>
      <c r="H208" s="472"/>
      <c r="I208" s="44">
        <f t="shared" si="28"/>
        <v>0</v>
      </c>
      <c r="J208" s="330" t="str">
        <f t="shared" si="29"/>
        <v/>
      </c>
      <c r="K208" s="395"/>
      <c r="L208" s="48"/>
      <c r="M208" s="473"/>
      <c r="N208" s="473"/>
      <c r="O208" s="473"/>
      <c r="P208" s="473"/>
      <c r="Q208" s="473"/>
      <c r="R208" s="473"/>
      <c r="S208" s="473"/>
      <c r="T208" s="473"/>
      <c r="U208" s="473"/>
      <c r="V208" s="473"/>
      <c r="W208" s="473"/>
    </row>
    <row r="209" spans="1:23" ht="11.25" customHeight="1" x14ac:dyDescent="0.2">
      <c r="A209" s="407" t="str">
        <f>'Org structure'!E62</f>
        <v>6.5 - General Manager: Sustainable Development and City Enterprises</v>
      </c>
      <c r="B209" s="445"/>
      <c r="C209" s="394"/>
      <c r="D209" s="383"/>
      <c r="E209" s="384"/>
      <c r="F209" s="472"/>
      <c r="G209" s="384"/>
      <c r="H209" s="472"/>
      <c r="I209" s="44">
        <f t="shared" si="28"/>
        <v>0</v>
      </c>
      <c r="J209" s="330" t="str">
        <f t="shared" si="29"/>
        <v/>
      </c>
      <c r="K209" s="395"/>
      <c r="L209" s="48"/>
      <c r="M209" s="473"/>
      <c r="N209" s="473"/>
      <c r="O209" s="473"/>
      <c r="P209" s="473"/>
      <c r="Q209" s="473"/>
      <c r="R209" s="473"/>
      <c r="S209" s="473"/>
      <c r="T209" s="473"/>
      <c r="U209" s="473"/>
      <c r="V209" s="473"/>
      <c r="W209" s="473"/>
    </row>
    <row r="210" spans="1:23" ht="11.25" hidden="1" customHeight="1" x14ac:dyDescent="0.2">
      <c r="A210" s="407">
        <f>'Org structure'!E63</f>
        <v>0</v>
      </c>
      <c r="B210" s="445"/>
      <c r="C210" s="394"/>
      <c r="D210" s="383"/>
      <c r="E210" s="384"/>
      <c r="F210" s="472"/>
      <c r="G210" s="384"/>
      <c r="H210" s="472"/>
      <c r="I210" s="44">
        <f t="shared" si="28"/>
        <v>0</v>
      </c>
      <c r="J210" s="330" t="str">
        <f t="shared" si="29"/>
        <v/>
      </c>
      <c r="K210" s="395"/>
      <c r="L210" s="48"/>
      <c r="M210" s="473"/>
      <c r="N210" s="473"/>
      <c r="O210" s="473"/>
      <c r="P210" s="473"/>
      <c r="Q210" s="473"/>
      <c r="R210" s="473"/>
      <c r="S210" s="473"/>
      <c r="T210" s="473"/>
      <c r="U210" s="473"/>
      <c r="V210" s="473"/>
      <c r="W210" s="473"/>
    </row>
    <row r="211" spans="1:23" ht="11.25" hidden="1" customHeight="1" x14ac:dyDescent="0.2">
      <c r="A211" s="407">
        <f>'Org structure'!E64</f>
        <v>0</v>
      </c>
      <c r="B211" s="445"/>
      <c r="C211" s="394"/>
      <c r="D211" s="383"/>
      <c r="E211" s="384"/>
      <c r="F211" s="472"/>
      <c r="G211" s="384"/>
      <c r="H211" s="472"/>
      <c r="I211" s="44">
        <f t="shared" si="28"/>
        <v>0</v>
      </c>
      <c r="J211" s="330" t="str">
        <f t="shared" si="29"/>
        <v/>
      </c>
      <c r="K211" s="395"/>
      <c r="L211" s="48"/>
      <c r="M211" s="473"/>
      <c r="N211" s="473"/>
      <c r="O211" s="473"/>
      <c r="P211" s="473"/>
      <c r="Q211" s="473"/>
      <c r="R211" s="473"/>
      <c r="S211" s="473"/>
      <c r="T211" s="473"/>
      <c r="U211" s="473"/>
      <c r="V211" s="473"/>
      <c r="W211" s="473"/>
    </row>
    <row r="212" spans="1:23" ht="11.25" hidden="1" customHeight="1" x14ac:dyDescent="0.2">
      <c r="A212" s="407">
        <f>'Org structure'!E65</f>
        <v>0</v>
      </c>
      <c r="B212" s="445"/>
      <c r="C212" s="394"/>
      <c r="D212" s="383"/>
      <c r="E212" s="384"/>
      <c r="F212" s="472"/>
      <c r="G212" s="384"/>
      <c r="H212" s="472"/>
      <c r="I212" s="44">
        <f t="shared" si="28"/>
        <v>0</v>
      </c>
      <c r="J212" s="330" t="str">
        <f t="shared" si="29"/>
        <v/>
      </c>
      <c r="K212" s="395"/>
      <c r="L212" s="48"/>
      <c r="M212" s="473"/>
      <c r="N212" s="473"/>
      <c r="O212" s="473"/>
      <c r="P212" s="473"/>
      <c r="Q212" s="473"/>
      <c r="R212" s="473"/>
      <c r="S212" s="473"/>
      <c r="T212" s="473"/>
      <c r="U212" s="473"/>
      <c r="V212" s="473"/>
      <c r="W212" s="473"/>
    </row>
    <row r="213" spans="1:23" ht="11.25" hidden="1" customHeight="1" x14ac:dyDescent="0.2">
      <c r="A213" s="407">
        <f>'Org structure'!E66</f>
        <v>0</v>
      </c>
      <c r="B213" s="445"/>
      <c r="C213" s="394"/>
      <c r="D213" s="383"/>
      <c r="E213" s="384"/>
      <c r="F213" s="472"/>
      <c r="G213" s="384"/>
      <c r="H213" s="472"/>
      <c r="I213" s="44">
        <f t="shared" si="28"/>
        <v>0</v>
      </c>
      <c r="J213" s="330" t="str">
        <f t="shared" si="29"/>
        <v/>
      </c>
      <c r="K213" s="395"/>
      <c r="L213" s="48"/>
      <c r="M213" s="473"/>
      <c r="N213" s="473"/>
      <c r="O213" s="473"/>
      <c r="P213" s="473"/>
      <c r="Q213" s="473"/>
      <c r="R213" s="473"/>
      <c r="S213" s="473"/>
      <c r="T213" s="473"/>
      <c r="U213" s="473"/>
      <c r="V213" s="473"/>
      <c r="W213" s="473"/>
    </row>
    <row r="214" spans="1:23" ht="11.25" hidden="1" customHeight="1" x14ac:dyDescent="0.2">
      <c r="A214" s="407">
        <f>'Org structure'!E67</f>
        <v>0</v>
      </c>
      <c r="B214" s="445"/>
      <c r="C214" s="394"/>
      <c r="D214" s="383"/>
      <c r="E214" s="384"/>
      <c r="F214" s="472"/>
      <c r="G214" s="384"/>
      <c r="H214" s="472"/>
      <c r="I214" s="44">
        <f t="shared" si="28"/>
        <v>0</v>
      </c>
      <c r="J214" s="330" t="str">
        <f t="shared" si="29"/>
        <v/>
      </c>
      <c r="K214" s="395"/>
      <c r="L214" s="48"/>
      <c r="M214" s="473"/>
      <c r="N214" s="473"/>
      <c r="O214" s="473"/>
      <c r="P214" s="473"/>
      <c r="Q214" s="473"/>
      <c r="R214" s="473"/>
      <c r="S214" s="473"/>
      <c r="T214" s="473"/>
      <c r="U214" s="473"/>
      <c r="V214" s="473"/>
      <c r="W214" s="473"/>
    </row>
    <row r="215" spans="1:23" ht="11.25" hidden="1" customHeight="1" x14ac:dyDescent="0.2">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28"/>
        <v>0</v>
      </c>
      <c r="J215" s="330" t="str">
        <f t="shared" si="29"/>
        <v/>
      </c>
      <c r="K215" s="442">
        <f t="shared" si="37"/>
        <v>0</v>
      </c>
      <c r="L215" s="48"/>
      <c r="M215" s="473"/>
      <c r="N215" s="473"/>
      <c r="O215" s="473"/>
      <c r="P215" s="473"/>
      <c r="Q215" s="473"/>
      <c r="R215" s="473"/>
      <c r="S215" s="473"/>
      <c r="T215" s="473"/>
      <c r="U215" s="473"/>
      <c r="V215" s="473"/>
      <c r="W215" s="473"/>
    </row>
    <row r="216" spans="1:23" ht="11.25" hidden="1" customHeight="1" x14ac:dyDescent="0.2">
      <c r="A216" s="407" t="str">
        <f>'Org structure'!E69</f>
        <v>7.1 - [Name of sub-vote]</v>
      </c>
      <c r="B216" s="445"/>
      <c r="C216" s="394"/>
      <c r="D216" s="383"/>
      <c r="E216" s="384"/>
      <c r="F216" s="472"/>
      <c r="G216" s="384"/>
      <c r="H216" s="472"/>
      <c r="I216" s="44">
        <f t="shared" si="28"/>
        <v>0</v>
      </c>
      <c r="J216" s="330" t="str">
        <f t="shared" si="29"/>
        <v/>
      </c>
      <c r="K216" s="395"/>
      <c r="L216" s="48"/>
      <c r="M216" s="473"/>
      <c r="N216" s="473"/>
      <c r="O216" s="473"/>
      <c r="P216" s="473"/>
      <c r="Q216" s="473"/>
      <c r="R216" s="473"/>
      <c r="S216" s="473"/>
      <c r="T216" s="473"/>
      <c r="U216" s="473"/>
      <c r="V216" s="473"/>
      <c r="W216" s="473"/>
    </row>
    <row r="217" spans="1:23" ht="11.25" hidden="1" customHeight="1" x14ac:dyDescent="0.2">
      <c r="A217" s="407">
        <f>'Org structure'!E70</f>
        <v>0</v>
      </c>
      <c r="B217" s="445"/>
      <c r="C217" s="394"/>
      <c r="D217" s="383"/>
      <c r="E217" s="384"/>
      <c r="F217" s="472"/>
      <c r="G217" s="384"/>
      <c r="H217" s="472"/>
      <c r="I217" s="44">
        <f t="shared" si="28"/>
        <v>0</v>
      </c>
      <c r="J217" s="330" t="str">
        <f t="shared" si="29"/>
        <v/>
      </c>
      <c r="K217" s="395"/>
      <c r="L217" s="48"/>
      <c r="M217" s="473"/>
      <c r="N217" s="473"/>
      <c r="O217" s="473"/>
      <c r="P217" s="473"/>
      <c r="Q217" s="473"/>
      <c r="R217" s="473"/>
      <c r="S217" s="473"/>
      <c r="T217" s="473"/>
      <c r="U217" s="473"/>
      <c r="V217" s="473"/>
      <c r="W217" s="473"/>
    </row>
    <row r="218" spans="1:23" ht="11.25" hidden="1" customHeight="1" x14ac:dyDescent="0.2">
      <c r="A218" s="407">
        <f>'Org structure'!E71</f>
        <v>0</v>
      </c>
      <c r="B218" s="445"/>
      <c r="C218" s="394"/>
      <c r="D218" s="383"/>
      <c r="E218" s="384"/>
      <c r="F218" s="472"/>
      <c r="G218" s="384"/>
      <c r="H218" s="472"/>
      <c r="I218" s="44">
        <f t="shared" si="28"/>
        <v>0</v>
      </c>
      <c r="J218" s="330" t="str">
        <f t="shared" si="29"/>
        <v/>
      </c>
      <c r="K218" s="395"/>
      <c r="L218" s="48"/>
      <c r="M218" s="473"/>
      <c r="N218" s="473"/>
      <c r="O218" s="473"/>
      <c r="P218" s="473"/>
      <c r="Q218" s="473"/>
      <c r="R218" s="473"/>
      <c r="S218" s="473"/>
      <c r="T218" s="473"/>
      <c r="U218" s="473"/>
      <c r="V218" s="473"/>
      <c r="W218" s="473"/>
    </row>
    <row r="219" spans="1:23" ht="11.25" hidden="1" customHeight="1" x14ac:dyDescent="0.2">
      <c r="A219" s="407">
        <f>'Org structure'!E72</f>
        <v>0</v>
      </c>
      <c r="B219" s="445"/>
      <c r="C219" s="394"/>
      <c r="D219" s="383"/>
      <c r="E219" s="384"/>
      <c r="F219" s="472"/>
      <c r="G219" s="384"/>
      <c r="H219" s="472"/>
      <c r="I219" s="44">
        <f t="shared" si="28"/>
        <v>0</v>
      </c>
      <c r="J219" s="330" t="str">
        <f t="shared" si="29"/>
        <v/>
      </c>
      <c r="K219" s="395"/>
      <c r="L219" s="48"/>
      <c r="M219" s="473"/>
      <c r="N219" s="473"/>
      <c r="O219" s="473"/>
      <c r="P219" s="473"/>
      <c r="Q219" s="473"/>
      <c r="R219" s="473"/>
      <c r="S219" s="473"/>
      <c r="T219" s="473"/>
      <c r="U219" s="473"/>
      <c r="V219" s="473"/>
      <c r="W219" s="473"/>
    </row>
    <row r="220" spans="1:23" ht="11.25" hidden="1" customHeight="1" x14ac:dyDescent="0.2">
      <c r="A220" s="407">
        <f>'Org structure'!E73</f>
        <v>0</v>
      </c>
      <c r="B220" s="445"/>
      <c r="C220" s="394"/>
      <c r="D220" s="383"/>
      <c r="E220" s="384"/>
      <c r="F220" s="472"/>
      <c r="G220" s="384"/>
      <c r="H220" s="472"/>
      <c r="I220" s="44">
        <f t="shared" si="28"/>
        <v>0</v>
      </c>
      <c r="J220" s="330" t="str">
        <f t="shared" si="29"/>
        <v/>
      </c>
      <c r="K220" s="395"/>
      <c r="L220" s="48"/>
      <c r="M220" s="473"/>
      <c r="N220" s="473"/>
      <c r="O220" s="473"/>
      <c r="P220" s="473"/>
      <c r="Q220" s="473"/>
      <c r="R220" s="473"/>
      <c r="S220" s="473"/>
      <c r="T220" s="473"/>
      <c r="U220" s="473"/>
      <c r="V220" s="473"/>
      <c r="W220" s="473"/>
    </row>
    <row r="221" spans="1:23" ht="11.25" hidden="1" customHeight="1" x14ac:dyDescent="0.2">
      <c r="A221" s="407">
        <f>'Org structure'!E74</f>
        <v>0</v>
      </c>
      <c r="B221" s="445"/>
      <c r="C221" s="394"/>
      <c r="D221" s="383"/>
      <c r="E221" s="384"/>
      <c r="F221" s="472"/>
      <c r="G221" s="384"/>
      <c r="H221" s="472"/>
      <c r="I221" s="44">
        <f t="shared" si="28"/>
        <v>0</v>
      </c>
      <c r="J221" s="330" t="str">
        <f t="shared" si="29"/>
        <v/>
      </c>
      <c r="K221" s="395"/>
      <c r="L221" s="48"/>
      <c r="M221" s="473"/>
      <c r="N221" s="473"/>
      <c r="O221" s="473"/>
      <c r="P221" s="473"/>
      <c r="Q221" s="473"/>
      <c r="R221" s="473"/>
      <c r="S221" s="473"/>
      <c r="T221" s="473"/>
      <c r="U221" s="473"/>
      <c r="V221" s="473"/>
      <c r="W221" s="473"/>
    </row>
    <row r="222" spans="1:23" ht="11.25" hidden="1" customHeight="1" x14ac:dyDescent="0.2">
      <c r="A222" s="407">
        <f>'Org structure'!E75</f>
        <v>0</v>
      </c>
      <c r="B222" s="445"/>
      <c r="C222" s="394"/>
      <c r="D222" s="383"/>
      <c r="E222" s="384"/>
      <c r="F222" s="472"/>
      <c r="G222" s="384"/>
      <c r="H222" s="472"/>
      <c r="I222" s="44">
        <f t="shared" si="28"/>
        <v>0</v>
      </c>
      <c r="J222" s="330" t="str">
        <f t="shared" si="29"/>
        <v/>
      </c>
      <c r="K222" s="395"/>
      <c r="L222" s="48"/>
      <c r="M222" s="473"/>
      <c r="N222" s="473"/>
      <c r="O222" s="473"/>
      <c r="P222" s="473"/>
      <c r="Q222" s="473"/>
      <c r="R222" s="473"/>
      <c r="S222" s="473"/>
      <c r="T222" s="473"/>
      <c r="U222" s="473"/>
      <c r="V222" s="473"/>
      <c r="W222" s="473"/>
    </row>
    <row r="223" spans="1:23" ht="11.25" hidden="1" customHeight="1" x14ac:dyDescent="0.2">
      <c r="A223" s="407">
        <f>'Org structure'!E76</f>
        <v>0</v>
      </c>
      <c r="B223" s="445"/>
      <c r="C223" s="394"/>
      <c r="D223" s="383"/>
      <c r="E223" s="384"/>
      <c r="F223" s="472"/>
      <c r="G223" s="384"/>
      <c r="H223" s="472"/>
      <c r="I223" s="44">
        <f t="shared" si="28"/>
        <v>0</v>
      </c>
      <c r="J223" s="330" t="str">
        <f t="shared" si="29"/>
        <v/>
      </c>
      <c r="K223" s="395"/>
      <c r="L223" s="48"/>
      <c r="M223" s="473"/>
      <c r="N223" s="473"/>
      <c r="O223" s="473"/>
      <c r="P223" s="473"/>
      <c r="Q223" s="473"/>
      <c r="R223" s="473"/>
      <c r="S223" s="473"/>
      <c r="T223" s="473"/>
      <c r="U223" s="473"/>
      <c r="V223" s="473"/>
      <c r="W223" s="473"/>
    </row>
    <row r="224" spans="1:23" ht="11.25" hidden="1" customHeight="1" x14ac:dyDescent="0.2">
      <c r="A224" s="407">
        <f>'Org structure'!E77</f>
        <v>0</v>
      </c>
      <c r="B224" s="445"/>
      <c r="C224" s="394"/>
      <c r="D224" s="383"/>
      <c r="E224" s="384"/>
      <c r="F224" s="472"/>
      <c r="G224" s="384"/>
      <c r="H224" s="472"/>
      <c r="I224" s="44">
        <f t="shared" si="28"/>
        <v>0</v>
      </c>
      <c r="J224" s="330" t="str">
        <f t="shared" si="29"/>
        <v/>
      </c>
      <c r="K224" s="395"/>
      <c r="L224" s="48"/>
      <c r="M224" s="473"/>
      <c r="N224" s="473"/>
      <c r="O224" s="473"/>
      <c r="P224" s="473"/>
      <c r="Q224" s="473"/>
      <c r="R224" s="473"/>
      <c r="S224" s="473"/>
      <c r="T224" s="473"/>
      <c r="U224" s="473"/>
      <c r="V224" s="473"/>
      <c r="W224" s="473"/>
    </row>
    <row r="225" spans="1:23" ht="11.25" hidden="1" customHeight="1" x14ac:dyDescent="0.2">
      <c r="A225" s="407">
        <f>'Org structure'!E78</f>
        <v>0</v>
      </c>
      <c r="B225" s="445"/>
      <c r="C225" s="394"/>
      <c r="D225" s="383"/>
      <c r="E225" s="384"/>
      <c r="F225" s="472"/>
      <c r="G225" s="384"/>
      <c r="H225" s="472"/>
      <c r="I225" s="44">
        <f t="shared" si="28"/>
        <v>0</v>
      </c>
      <c r="J225" s="330" t="str">
        <f t="shared" si="29"/>
        <v/>
      </c>
      <c r="K225" s="395"/>
      <c r="L225" s="48"/>
      <c r="M225" s="473"/>
      <c r="N225" s="473"/>
      <c r="O225" s="473"/>
      <c r="P225" s="473"/>
      <c r="Q225" s="473"/>
      <c r="R225" s="473"/>
      <c r="S225" s="473"/>
      <c r="T225" s="473"/>
      <c r="U225" s="473"/>
      <c r="V225" s="473"/>
      <c r="W225" s="473"/>
    </row>
    <row r="226" spans="1:23" ht="11.25" hidden="1" customHeight="1" x14ac:dyDescent="0.2">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28"/>
        <v>0</v>
      </c>
      <c r="J226" s="330" t="str">
        <f t="shared" si="29"/>
        <v/>
      </c>
      <c r="K226" s="442">
        <f t="shared" si="38"/>
        <v>0</v>
      </c>
      <c r="L226" s="48"/>
      <c r="M226" s="473"/>
      <c r="N226" s="473"/>
      <c r="O226" s="473"/>
      <c r="P226" s="473"/>
      <c r="Q226" s="473"/>
      <c r="R226" s="473"/>
      <c r="S226" s="473"/>
      <c r="T226" s="473"/>
      <c r="U226" s="473"/>
      <c r="V226" s="473"/>
      <c r="W226" s="473"/>
    </row>
    <row r="227" spans="1:23" ht="11.25" hidden="1" customHeight="1" x14ac:dyDescent="0.2">
      <c r="A227" s="407" t="str">
        <f>'Org structure'!E80</f>
        <v>8.1 - [Name of sub-vote]</v>
      </c>
      <c r="B227" s="445"/>
      <c r="C227" s="394"/>
      <c r="D227" s="383"/>
      <c r="E227" s="384"/>
      <c r="F227" s="472"/>
      <c r="G227" s="384"/>
      <c r="H227" s="472"/>
      <c r="I227" s="44">
        <f t="shared" si="28"/>
        <v>0</v>
      </c>
      <c r="J227" s="330" t="str">
        <f t="shared" si="29"/>
        <v/>
      </c>
      <c r="K227" s="395"/>
      <c r="L227" s="48"/>
      <c r="M227" s="473"/>
      <c r="N227" s="473"/>
      <c r="O227" s="473"/>
      <c r="P227" s="473"/>
      <c r="Q227" s="473"/>
      <c r="R227" s="473"/>
      <c r="S227" s="473"/>
      <c r="T227" s="473"/>
      <c r="U227" s="473"/>
      <c r="V227" s="473"/>
      <c r="W227" s="473"/>
    </row>
    <row r="228" spans="1:23" ht="11.25" hidden="1" customHeight="1" x14ac:dyDescent="0.2">
      <c r="A228" s="407">
        <f>'Org structure'!E81</f>
        <v>0</v>
      </c>
      <c r="B228" s="445"/>
      <c r="C228" s="394"/>
      <c r="D228" s="383"/>
      <c r="E228" s="384"/>
      <c r="F228" s="472"/>
      <c r="G228" s="384"/>
      <c r="H228" s="472"/>
      <c r="I228" s="44">
        <f t="shared" si="28"/>
        <v>0</v>
      </c>
      <c r="J228" s="330" t="str">
        <f t="shared" si="29"/>
        <v/>
      </c>
      <c r="K228" s="395"/>
      <c r="L228" s="48"/>
      <c r="M228" s="473"/>
      <c r="N228" s="473"/>
      <c r="O228" s="473"/>
      <c r="P228" s="473"/>
      <c r="Q228" s="473"/>
      <c r="R228" s="473"/>
      <c r="S228" s="473"/>
      <c r="T228" s="473"/>
      <c r="U228" s="473"/>
      <c r="V228" s="473"/>
      <c r="W228" s="473"/>
    </row>
    <row r="229" spans="1:23" ht="11.25" hidden="1" customHeight="1" x14ac:dyDescent="0.2">
      <c r="A229" s="407">
        <f>'Org structure'!E82</f>
        <v>0</v>
      </c>
      <c r="B229" s="445"/>
      <c r="C229" s="394"/>
      <c r="D229" s="383"/>
      <c r="E229" s="384"/>
      <c r="F229" s="472"/>
      <c r="G229" s="384"/>
      <c r="H229" s="472"/>
      <c r="I229" s="44">
        <f t="shared" si="28"/>
        <v>0</v>
      </c>
      <c r="J229" s="330" t="str">
        <f t="shared" si="29"/>
        <v/>
      </c>
      <c r="K229" s="395"/>
      <c r="L229" s="48"/>
      <c r="M229" s="473"/>
      <c r="N229" s="473"/>
      <c r="O229" s="473"/>
      <c r="P229" s="473"/>
      <c r="Q229" s="473"/>
      <c r="R229" s="473"/>
      <c r="S229" s="473"/>
      <c r="T229" s="473"/>
      <c r="U229" s="473"/>
      <c r="V229" s="473"/>
      <c r="W229" s="473"/>
    </row>
    <row r="230" spans="1:23" ht="11.25" hidden="1" customHeight="1" x14ac:dyDescent="0.2">
      <c r="A230" s="407">
        <f>'Org structure'!E83</f>
        <v>0</v>
      </c>
      <c r="B230" s="445"/>
      <c r="C230" s="394"/>
      <c r="D230" s="383"/>
      <c r="E230" s="384"/>
      <c r="F230" s="472"/>
      <c r="G230" s="384"/>
      <c r="H230" s="472"/>
      <c r="I230" s="44">
        <f t="shared" si="28"/>
        <v>0</v>
      </c>
      <c r="J230" s="330" t="str">
        <f t="shared" si="29"/>
        <v/>
      </c>
      <c r="K230" s="395"/>
      <c r="L230" s="48"/>
      <c r="M230" s="473"/>
      <c r="N230" s="473"/>
      <c r="O230" s="473"/>
      <c r="P230" s="473"/>
      <c r="Q230" s="473"/>
      <c r="R230" s="473"/>
      <c r="S230" s="473"/>
      <c r="T230" s="473"/>
      <c r="U230" s="473"/>
      <c r="V230" s="473"/>
      <c r="W230" s="473"/>
    </row>
    <row r="231" spans="1:23" ht="11.25" hidden="1" customHeight="1" x14ac:dyDescent="0.2">
      <c r="A231" s="407">
        <f>'Org structure'!E84</f>
        <v>0</v>
      </c>
      <c r="B231" s="445"/>
      <c r="C231" s="394"/>
      <c r="D231" s="383"/>
      <c r="E231" s="384"/>
      <c r="F231" s="472"/>
      <c r="G231" s="384"/>
      <c r="H231" s="472"/>
      <c r="I231" s="44">
        <f t="shared" si="28"/>
        <v>0</v>
      </c>
      <c r="J231" s="330" t="str">
        <f t="shared" si="29"/>
        <v/>
      </c>
      <c r="K231" s="395"/>
      <c r="L231" s="48"/>
      <c r="M231" s="473"/>
      <c r="N231" s="473"/>
      <c r="O231" s="473"/>
      <c r="P231" s="473"/>
      <c r="Q231" s="473"/>
      <c r="R231" s="473"/>
      <c r="S231" s="473"/>
      <c r="T231" s="473"/>
      <c r="U231" s="473"/>
      <c r="V231" s="473"/>
      <c r="W231" s="473"/>
    </row>
    <row r="232" spans="1:23" ht="11.25" hidden="1" customHeight="1" x14ac:dyDescent="0.2">
      <c r="A232" s="407">
        <f>'Org structure'!E85</f>
        <v>0</v>
      </c>
      <c r="B232" s="445"/>
      <c r="C232" s="394"/>
      <c r="D232" s="383"/>
      <c r="E232" s="384"/>
      <c r="F232" s="472"/>
      <c r="G232" s="384"/>
      <c r="H232" s="472"/>
      <c r="I232" s="44">
        <f t="shared" si="28"/>
        <v>0</v>
      </c>
      <c r="J232" s="330" t="str">
        <f t="shared" si="29"/>
        <v/>
      </c>
      <c r="K232" s="395"/>
      <c r="L232" s="48"/>
      <c r="M232" s="473"/>
      <c r="N232" s="473"/>
      <c r="O232" s="473"/>
      <c r="P232" s="473"/>
      <c r="Q232" s="473"/>
      <c r="R232" s="473"/>
      <c r="S232" s="473"/>
      <c r="T232" s="473"/>
      <c r="U232" s="473"/>
      <c r="V232" s="473"/>
      <c r="W232" s="473"/>
    </row>
    <row r="233" spans="1:23" ht="11.25" hidden="1" customHeight="1" x14ac:dyDescent="0.2">
      <c r="A233" s="407">
        <f>'Org structure'!E86</f>
        <v>0</v>
      </c>
      <c r="B233" s="445"/>
      <c r="C233" s="394"/>
      <c r="D233" s="383"/>
      <c r="E233" s="384"/>
      <c r="F233" s="472"/>
      <c r="G233" s="384"/>
      <c r="H233" s="472"/>
      <c r="I233" s="44">
        <f t="shared" si="28"/>
        <v>0</v>
      </c>
      <c r="J233" s="330" t="str">
        <f t="shared" si="29"/>
        <v/>
      </c>
      <c r="K233" s="395"/>
      <c r="L233" s="48"/>
      <c r="M233" s="473"/>
      <c r="N233" s="473"/>
      <c r="O233" s="473"/>
      <c r="P233" s="473"/>
      <c r="Q233" s="473"/>
      <c r="R233" s="473"/>
      <c r="S233" s="473"/>
      <c r="T233" s="473"/>
      <c r="U233" s="473"/>
      <c r="V233" s="473"/>
      <c r="W233" s="473"/>
    </row>
    <row r="234" spans="1:23" ht="11.25" hidden="1" customHeight="1" x14ac:dyDescent="0.2">
      <c r="A234" s="407">
        <f>'Org structure'!E87</f>
        <v>0</v>
      </c>
      <c r="B234" s="445"/>
      <c r="C234" s="394"/>
      <c r="D234" s="383"/>
      <c r="E234" s="384"/>
      <c r="F234" s="472"/>
      <c r="G234" s="384"/>
      <c r="H234" s="472"/>
      <c r="I234" s="44">
        <f t="shared" si="28"/>
        <v>0</v>
      </c>
      <c r="J234" s="330" t="str">
        <f t="shared" si="29"/>
        <v/>
      </c>
      <c r="K234" s="395"/>
      <c r="L234" s="48"/>
      <c r="M234" s="473"/>
      <c r="N234" s="473"/>
      <c r="O234" s="473"/>
      <c r="P234" s="473"/>
      <c r="Q234" s="473"/>
      <c r="R234" s="473"/>
      <c r="S234" s="473"/>
      <c r="T234" s="473"/>
      <c r="U234" s="473"/>
      <c r="V234" s="473"/>
      <c r="W234" s="473"/>
    </row>
    <row r="235" spans="1:23" ht="11.25" hidden="1" customHeight="1" x14ac:dyDescent="0.2">
      <c r="A235" s="407">
        <f>'Org structure'!E88</f>
        <v>0</v>
      </c>
      <c r="B235" s="445"/>
      <c r="C235" s="394"/>
      <c r="D235" s="383"/>
      <c r="E235" s="384"/>
      <c r="F235" s="472"/>
      <c r="G235" s="384"/>
      <c r="H235" s="472"/>
      <c r="I235" s="44">
        <f t="shared" si="28"/>
        <v>0</v>
      </c>
      <c r="J235" s="330" t="str">
        <f t="shared" si="29"/>
        <v/>
      </c>
      <c r="K235" s="395"/>
      <c r="L235" s="48"/>
      <c r="M235" s="473"/>
      <c r="N235" s="473"/>
      <c r="O235" s="473"/>
      <c r="P235" s="473"/>
      <c r="Q235" s="473"/>
      <c r="R235" s="473"/>
      <c r="S235" s="473"/>
      <c r="T235" s="473"/>
      <c r="U235" s="473"/>
      <c r="V235" s="473"/>
      <c r="W235" s="473"/>
    </row>
    <row r="236" spans="1:23" ht="11.25" hidden="1" customHeight="1" x14ac:dyDescent="0.2">
      <c r="A236" s="407">
        <f>'Org structure'!E89</f>
        <v>0</v>
      </c>
      <c r="B236" s="445"/>
      <c r="C236" s="394"/>
      <c r="D236" s="383"/>
      <c r="E236" s="384"/>
      <c r="F236" s="472"/>
      <c r="G236" s="384"/>
      <c r="H236" s="472"/>
      <c r="I236" s="44">
        <f t="shared" si="28"/>
        <v>0</v>
      </c>
      <c r="J236" s="330" t="str">
        <f t="shared" si="29"/>
        <v/>
      </c>
      <c r="K236" s="395"/>
      <c r="L236" s="48"/>
      <c r="M236" s="473"/>
      <c r="N236" s="473"/>
      <c r="O236" s="473"/>
      <c r="P236" s="473"/>
      <c r="Q236" s="473"/>
      <c r="R236" s="473"/>
      <c r="S236" s="473"/>
      <c r="T236" s="473"/>
      <c r="U236" s="473"/>
      <c r="V236" s="473"/>
      <c r="W236" s="473"/>
    </row>
    <row r="237" spans="1:23" ht="11.25" hidden="1" customHeight="1" x14ac:dyDescent="0.2">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
      <c r="A314" s="711" t="s">
        <v>799</v>
      </c>
      <c r="B314" s="712"/>
      <c r="C314" s="508">
        <f>C149+C160+C171+C182+C193+C204+C215+C226+C237+C259+C270+C281+C292+C303+C248</f>
        <v>0</v>
      </c>
      <c r="D314" s="475">
        <f t="shared" ref="D314:K314" si="51">D149+D160+D171+D182+D193+D204+D215+D226+D237+D259+D270+D281+D292+D303+D248</f>
        <v>71724000</v>
      </c>
      <c r="E314" s="430">
        <f t="shared" si="51"/>
        <v>0</v>
      </c>
      <c r="F314" s="474">
        <f t="shared" si="51"/>
        <v>18839342.609999999</v>
      </c>
      <c r="G314" s="430">
        <f t="shared" si="51"/>
        <v>41654631.800000004</v>
      </c>
      <c r="H314" s="474">
        <f t="shared" si="51"/>
        <v>17931000</v>
      </c>
      <c r="I314" s="430">
        <f t="shared" si="47"/>
        <v>23723631.800000004</v>
      </c>
      <c r="J314" s="430">
        <f t="shared" si="48"/>
        <v>1.323051240867771</v>
      </c>
      <c r="K314" s="513">
        <f t="shared" si="51"/>
        <v>71724000</v>
      </c>
      <c r="L314" s="476"/>
      <c r="M314" s="52"/>
      <c r="N314" s="52"/>
      <c r="O314" s="52"/>
      <c r="P314" s="52"/>
      <c r="Q314" s="52"/>
      <c r="R314" s="52"/>
      <c r="S314" s="52"/>
      <c r="T314" s="52"/>
      <c r="U314" s="52"/>
      <c r="V314" s="52"/>
      <c r="W314" s="52"/>
    </row>
    <row r="315" spans="1:23" ht="4.5" customHeight="1" thickBot="1" x14ac:dyDescent="0.25">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
      <c r="A316" s="53" t="s">
        <v>761</v>
      </c>
      <c r="B316" s="477"/>
      <c r="C316" s="509">
        <f>C145+C314</f>
        <v>0</v>
      </c>
      <c r="D316" s="512">
        <f t="shared" ref="D316:K316" si="53">D145+D314</f>
        <v>580891581</v>
      </c>
      <c r="E316" s="55">
        <f t="shared" si="53"/>
        <v>0</v>
      </c>
      <c r="F316" s="479">
        <f t="shared" si="53"/>
        <v>51590953.230000004</v>
      </c>
      <c r="G316" s="55">
        <f t="shared" si="53"/>
        <v>80820991.460000008</v>
      </c>
      <c r="H316" s="479">
        <f t="shared" si="53"/>
        <v>145222895.25</v>
      </c>
      <c r="I316" s="55">
        <f t="shared" si="47"/>
        <v>-64401903.789999992</v>
      </c>
      <c r="J316" s="55">
        <f t="shared" si="48"/>
        <v>-0.44346935570408957</v>
      </c>
      <c r="K316" s="235">
        <f t="shared" si="53"/>
        <v>580891581</v>
      </c>
    </row>
    <row r="317" spans="1:23" s="486" customFormat="1" ht="11.25" customHeight="1" x14ac:dyDescent="0.2">
      <c r="A317" s="482" t="str">
        <f>head27a</f>
        <v>References</v>
      </c>
      <c r="B317" s="483"/>
      <c r="C317" s="484"/>
      <c r="D317" s="485"/>
      <c r="E317" s="485"/>
      <c r="F317" s="485"/>
      <c r="G317" s="485"/>
      <c r="H317" s="485"/>
      <c r="I317" s="485"/>
      <c r="J317" s="485"/>
      <c r="K317" s="485"/>
    </row>
    <row r="318" spans="1:23" s="486" customFormat="1" ht="11.25" customHeight="1" x14ac:dyDescent="0.2">
      <c r="A318" s="487" t="s">
        <v>121</v>
      </c>
      <c r="B318" s="483"/>
      <c r="C318" s="488"/>
      <c r="D318" s="488"/>
      <c r="E318" s="489"/>
      <c r="F318" s="489"/>
      <c r="G318" s="489"/>
      <c r="H318" s="489"/>
      <c r="I318" s="489"/>
      <c r="J318" s="489"/>
      <c r="K318" s="489"/>
    </row>
    <row r="319" spans="1:23" s="486" customFormat="1" ht="11.25" customHeight="1" x14ac:dyDescent="0.2">
      <c r="A319" s="490"/>
      <c r="B319" s="483"/>
      <c r="C319" s="488"/>
      <c r="D319" s="488"/>
      <c r="E319" s="489"/>
      <c r="F319" s="489"/>
      <c r="G319" s="489"/>
      <c r="H319" s="489"/>
      <c r="I319" s="489"/>
      <c r="J319" s="489"/>
      <c r="K319" s="489"/>
    </row>
    <row r="320" spans="1:23" ht="11.25" customHeight="1" x14ac:dyDescent="0.2">
      <c r="A320" s="490"/>
      <c r="B320" s="491"/>
      <c r="C320" s="492"/>
      <c r="D320" s="492"/>
      <c r="E320" s="493"/>
      <c r="F320" s="493"/>
      <c r="G320" s="493"/>
      <c r="H320" s="493"/>
      <c r="I320" s="493"/>
      <c r="J320" s="493"/>
      <c r="K320" s="493"/>
    </row>
    <row r="321" spans="1:24" ht="11.25" customHeight="1" x14ac:dyDescent="0.2">
      <c r="A321" s="67"/>
    </row>
    <row r="322" spans="1:24" ht="11.25" customHeight="1" x14ac:dyDescent="0.2">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
      <c r="A324" s="67"/>
    </row>
    <row r="325" spans="1:24" ht="11.25" customHeight="1" x14ac:dyDescent="0.2">
      <c r="A325" s="67"/>
    </row>
    <row r="326" spans="1:24" ht="11.25" customHeight="1" x14ac:dyDescent="0.2">
      <c r="A326" s="67"/>
    </row>
    <row r="327" spans="1:24" ht="11.25" customHeight="1" x14ac:dyDescent="0.2"/>
    <row r="328" spans="1:24" ht="11.25" customHeight="1" x14ac:dyDescent="0.2"/>
    <row r="329" spans="1:24" ht="11.25" customHeight="1" x14ac:dyDescent="0.2"/>
    <row r="330" spans="1:24" ht="11.25" customHeight="1" x14ac:dyDescent="0.2"/>
    <row r="331" spans="1:24" ht="11.25" customHeight="1" x14ac:dyDescent="0.2"/>
    <row r="332" spans="1:24" ht="11.25" customHeight="1" x14ac:dyDescent="0.2"/>
    <row r="333" spans="1:24" ht="11.25" customHeight="1" x14ac:dyDescent="0.2"/>
    <row r="334" spans="1:24" ht="11.25" customHeight="1" x14ac:dyDescent="0.2"/>
    <row r="335" spans="1:24" ht="11.25" customHeight="1" x14ac:dyDescent="0.2"/>
    <row r="336" spans="1:24"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G32" sqref="G32"/>
    </sheetView>
  </sheetViews>
  <sheetFormatPr defaultColWidth="9.109375" defaultRowHeight="10.199999999999999" x14ac:dyDescent="0.2"/>
  <cols>
    <col min="1" max="1" width="35.6640625" style="25" customWidth="1"/>
    <col min="2" max="2" width="3.109375" style="68" customWidth="1"/>
    <col min="3" max="7" width="8.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8" ht="13.8" x14ac:dyDescent="0.2">
      <c r="A1" s="1057" t="str">
        <f>muni&amp; " - "&amp;S71E&amp; " - "&amp;date</f>
        <v>KZN225 Msunduzi - Table C6 Consolidated Monthly Budget Statement - Financial Position  - Q1 First Quarter</v>
      </c>
      <c r="B1" s="1057"/>
      <c r="C1" s="1057"/>
      <c r="D1" s="1057"/>
      <c r="E1" s="1057"/>
      <c r="F1" s="1057"/>
      <c r="G1" s="1057"/>
    </row>
    <row r="2" spans="1:8" x14ac:dyDescent="0.2">
      <c r="A2" s="1042" t="str">
        <f>desc</f>
        <v>Description</v>
      </c>
      <c r="B2" s="1035" t="str">
        <f>head27</f>
        <v>Ref</v>
      </c>
      <c r="C2" s="140" t="str">
        <f>Head1</f>
        <v>2019/20</v>
      </c>
      <c r="D2" s="245" t="str">
        <f>Head2</f>
        <v>Budget Year 2020/21</v>
      </c>
      <c r="E2" s="229"/>
      <c r="F2" s="229"/>
      <c r="G2" s="230"/>
    </row>
    <row r="3" spans="1:8" ht="20.399999999999999" x14ac:dyDescent="0.2">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
      <c r="A4" s="34" t="s">
        <v>667</v>
      </c>
      <c r="B4" s="119">
        <v>1</v>
      </c>
      <c r="C4" s="187"/>
      <c r="D4" s="246"/>
      <c r="E4" s="241"/>
      <c r="F4" s="82"/>
      <c r="G4" s="223"/>
    </row>
    <row r="5" spans="1:8" ht="11.25" customHeight="1" x14ac:dyDescent="0.2">
      <c r="A5" s="182" t="s">
        <v>542</v>
      </c>
      <c r="B5" s="186"/>
      <c r="C5" s="170"/>
      <c r="D5" s="267"/>
      <c r="E5" s="36"/>
      <c r="F5" s="36"/>
      <c r="G5" s="226"/>
    </row>
    <row r="6" spans="1:8" ht="11.25" customHeight="1" x14ac:dyDescent="0.2">
      <c r="A6" s="87" t="s">
        <v>543</v>
      </c>
      <c r="B6" s="169"/>
      <c r="C6" s="40"/>
      <c r="D6" s="268"/>
      <c r="E6" s="103"/>
      <c r="F6" s="103"/>
      <c r="G6" s="266"/>
    </row>
    <row r="7" spans="1:8" ht="12.75" customHeight="1" x14ac:dyDescent="0.2">
      <c r="A7" s="39" t="s">
        <v>785</v>
      </c>
      <c r="B7" s="169"/>
      <c r="C7" s="748"/>
      <c r="D7" s="753">
        <v>365664115.172562</v>
      </c>
      <c r="E7" s="733"/>
      <c r="F7" s="733">
        <v>10710045.929999998</v>
      </c>
      <c r="G7" s="735">
        <f>D7</f>
        <v>365664115.172562</v>
      </c>
    </row>
    <row r="8" spans="1:8" ht="12.75" customHeight="1" x14ac:dyDescent="0.2">
      <c r="A8" s="39" t="s">
        <v>590</v>
      </c>
      <c r="B8" s="169"/>
      <c r="C8" s="748"/>
      <c r="D8" s="753">
        <v>16771734.260000002</v>
      </c>
      <c r="E8" s="733"/>
      <c r="F8" s="733">
        <v>167333244.09999999</v>
      </c>
      <c r="G8" s="735">
        <f>D8</f>
        <v>16771734.260000002</v>
      </c>
    </row>
    <row r="9" spans="1:8" ht="12.75" customHeight="1" x14ac:dyDescent="0.2">
      <c r="A9" s="39" t="s">
        <v>588</v>
      </c>
      <c r="B9" s="169"/>
      <c r="C9" s="748"/>
      <c r="D9" s="753">
        <v>2485904793.8587079</v>
      </c>
      <c r="E9" s="733"/>
      <c r="F9" s="733">
        <v>1531083199.7800002</v>
      </c>
      <c r="G9" s="735">
        <f>D9</f>
        <v>2485904793.8587079</v>
      </c>
    </row>
    <row r="10" spans="1:8" ht="12.75" customHeight="1" x14ac:dyDescent="0.2">
      <c r="A10" s="39" t="s">
        <v>589</v>
      </c>
      <c r="B10" s="169"/>
      <c r="C10" s="748"/>
      <c r="D10" s="753">
        <v>67823549.673443094</v>
      </c>
      <c r="E10" s="733"/>
      <c r="F10" s="733">
        <v>3223851.9399999958</v>
      </c>
      <c r="G10" s="735">
        <f>D10</f>
        <v>67823549.673443094</v>
      </c>
    </row>
    <row r="11" spans="1:8" ht="12.75" customHeight="1" x14ac:dyDescent="0.2">
      <c r="A11" s="39" t="s">
        <v>786</v>
      </c>
      <c r="B11" s="169"/>
      <c r="C11" s="748"/>
      <c r="D11" s="753"/>
      <c r="E11" s="733"/>
      <c r="F11" s="733"/>
      <c r="G11" s="735"/>
    </row>
    <row r="12" spans="1:8" ht="12.75" customHeight="1" x14ac:dyDescent="0.2">
      <c r="A12" s="39" t="s">
        <v>587</v>
      </c>
      <c r="B12" s="169"/>
      <c r="C12" s="748"/>
      <c r="D12" s="753">
        <v>36180571.679769903</v>
      </c>
      <c r="E12" s="733"/>
      <c r="F12" s="733">
        <v>347607088.45999998</v>
      </c>
      <c r="G12" s="735">
        <f>D12</f>
        <v>36180571.679769903</v>
      </c>
    </row>
    <row r="13" spans="1:8" ht="12.75" customHeight="1" x14ac:dyDescent="0.2">
      <c r="A13" s="92" t="s">
        <v>632</v>
      </c>
      <c r="B13" s="233"/>
      <c r="C13" s="243">
        <f>SUM(C7:C12)</f>
        <v>0</v>
      </c>
      <c r="D13" s="260">
        <f>SUM(D7:D12)</f>
        <v>2972344764.6444831</v>
      </c>
      <c r="E13" s="73">
        <f>SUM(E7:E12)</f>
        <v>0</v>
      </c>
      <c r="F13" s="73">
        <f>SUM(F7:F12)</f>
        <v>2059957430.2100003</v>
      </c>
      <c r="G13" s="145">
        <f>SUM(G7:G12)</f>
        <v>2972344764.6444831</v>
      </c>
    </row>
    <row r="14" spans="1:8" ht="5.0999999999999996" customHeight="1" x14ac:dyDescent="0.2">
      <c r="A14" s="42"/>
      <c r="B14" s="169"/>
      <c r="C14" s="134"/>
      <c r="D14" s="258"/>
      <c r="E14" s="44"/>
      <c r="F14" s="44"/>
      <c r="G14" s="144"/>
    </row>
    <row r="15" spans="1:8" ht="12.75" customHeight="1" x14ac:dyDescent="0.2">
      <c r="A15" s="87" t="s">
        <v>454</v>
      </c>
      <c r="B15" s="169"/>
      <c r="C15" s="134"/>
      <c r="D15" s="258"/>
      <c r="E15" s="44"/>
      <c r="F15" s="44"/>
      <c r="G15" s="144"/>
    </row>
    <row r="16" spans="1:8" ht="12.75" customHeight="1" x14ac:dyDescent="0.2">
      <c r="A16" s="39" t="s">
        <v>586</v>
      </c>
      <c r="B16" s="169"/>
      <c r="C16" s="748"/>
      <c r="D16" s="753"/>
      <c r="E16" s="733"/>
      <c r="F16" s="733">
        <v>390259</v>
      </c>
      <c r="G16" s="733"/>
      <c r="H16" s="39"/>
    </row>
    <row r="17" spans="1:8" ht="12.75" customHeight="1" x14ac:dyDescent="0.2">
      <c r="A17" s="39" t="s">
        <v>544</v>
      </c>
      <c r="B17" s="169"/>
      <c r="C17" s="748"/>
      <c r="D17" s="753">
        <v>2969671.4292000006</v>
      </c>
      <c r="E17" s="733"/>
      <c r="F17" s="733"/>
      <c r="G17" s="735">
        <f>D17</f>
        <v>2969671.4292000006</v>
      </c>
      <c r="H17" s="39"/>
    </row>
    <row r="18" spans="1:8" ht="12.75" customHeight="1" x14ac:dyDescent="0.2">
      <c r="A18" s="39" t="s">
        <v>585</v>
      </c>
      <c r="B18" s="169"/>
      <c r="C18" s="748"/>
      <c r="D18" s="753">
        <v>782332533.60000002</v>
      </c>
      <c r="E18" s="733"/>
      <c r="F18" s="733">
        <v>707626999.95000005</v>
      </c>
      <c r="G18" s="735">
        <f>D18</f>
        <v>782332533.60000002</v>
      </c>
      <c r="H18" s="39"/>
    </row>
    <row r="19" spans="1:8" ht="12.75" customHeight="1" x14ac:dyDescent="0.2">
      <c r="A19" s="39" t="s">
        <v>278</v>
      </c>
      <c r="B19" s="169"/>
      <c r="C19" s="748"/>
      <c r="D19" s="753"/>
      <c r="E19" s="733"/>
      <c r="F19" s="733"/>
      <c r="G19" s="735"/>
      <c r="H19" s="39"/>
    </row>
    <row r="20" spans="1:8" ht="12.75" customHeight="1" x14ac:dyDescent="0.2">
      <c r="A20" s="39" t="s">
        <v>584</v>
      </c>
      <c r="B20" s="169"/>
      <c r="C20" s="748"/>
      <c r="D20" s="753">
        <v>7111997635.7252645</v>
      </c>
      <c r="E20" s="733"/>
      <c r="F20" s="733">
        <v>7176644924.8500013</v>
      </c>
      <c r="G20" s="735">
        <f>D20</f>
        <v>7111997635.7252645</v>
      </c>
    </row>
    <row r="21" spans="1:8" ht="0.9" customHeight="1" x14ac:dyDescent="0.2">
      <c r="A21" s="39"/>
      <c r="B21" s="169"/>
      <c r="C21" s="648"/>
      <c r="D21" s="670"/>
      <c r="E21" s="408"/>
      <c r="F21" s="408"/>
      <c r="G21" s="642"/>
      <c r="H21" s="39"/>
    </row>
    <row r="22" spans="1:8" ht="12.75" customHeight="1" x14ac:dyDescent="0.2">
      <c r="A22" s="39" t="s">
        <v>1333</v>
      </c>
      <c r="B22" s="169"/>
      <c r="C22" s="748"/>
      <c r="D22" s="753">
        <v>1065650.33</v>
      </c>
      <c r="E22" s="733"/>
      <c r="F22" s="733">
        <v>1070250</v>
      </c>
      <c r="G22" s="735">
        <f>D22</f>
        <v>1065650.33</v>
      </c>
      <c r="H22" s="39"/>
    </row>
    <row r="23" spans="1:8" ht="12.75" customHeight="1" x14ac:dyDescent="0.2">
      <c r="A23" s="39" t="s">
        <v>1334</v>
      </c>
      <c r="B23" s="169"/>
      <c r="C23" s="748"/>
      <c r="D23" s="753">
        <v>46132727.226800002</v>
      </c>
      <c r="E23" s="733"/>
      <c r="F23" s="733">
        <v>28060416.590000004</v>
      </c>
      <c r="G23" s="735">
        <f>D23</f>
        <v>46132727.226800002</v>
      </c>
      <c r="H23" s="39"/>
    </row>
    <row r="24" spans="1:8" ht="12.75" customHeight="1" x14ac:dyDescent="0.2">
      <c r="A24" s="39" t="s">
        <v>795</v>
      </c>
      <c r="B24" s="169"/>
      <c r="C24" s="748"/>
      <c r="D24" s="753">
        <v>395927434.26520002</v>
      </c>
      <c r="E24" s="733"/>
      <c r="F24" s="733">
        <v>83200000</v>
      </c>
      <c r="G24" s="735">
        <f>D24</f>
        <v>395927434.26520002</v>
      </c>
      <c r="H24" s="39"/>
    </row>
    <row r="25" spans="1:8" ht="12.75" customHeight="1" x14ac:dyDescent="0.2">
      <c r="A25" s="92" t="s">
        <v>631</v>
      </c>
      <c r="B25" s="233"/>
      <c r="C25" s="243">
        <f>SUM(C16:C20)+SUM(C22:C24)</f>
        <v>0</v>
      </c>
      <c r="D25" s="260">
        <f>SUM(D16:D20)+SUM(D22:D24)</f>
        <v>8340425652.5764656</v>
      </c>
      <c r="E25" s="73">
        <f>SUM(E16:E20)+SUM(E22:E24)</f>
        <v>0</v>
      </c>
      <c r="F25" s="73">
        <f>SUM(F16:F20)+SUM(F22:F24)</f>
        <v>7996992850.3900013</v>
      </c>
      <c r="G25" s="145">
        <f>SUM(G16:G20)+SUM(G22:G24)</f>
        <v>8340425652.5764656</v>
      </c>
      <c r="H25" s="39"/>
    </row>
    <row r="26" spans="1:8" ht="12.75" customHeight="1" x14ac:dyDescent="0.2">
      <c r="A26" s="92" t="s">
        <v>778</v>
      </c>
      <c r="B26" s="233"/>
      <c r="C26" s="243">
        <f>C13+C25</f>
        <v>0</v>
      </c>
      <c r="D26" s="260">
        <f>D13+D25</f>
        <v>11312770417.220949</v>
      </c>
      <c r="E26" s="73">
        <f>E13+E25</f>
        <v>0</v>
      </c>
      <c r="F26" s="73">
        <f>F13+F25</f>
        <v>10056950280.600002</v>
      </c>
      <c r="G26" s="145">
        <f>G13+G25</f>
        <v>11312770417.220949</v>
      </c>
    </row>
    <row r="27" spans="1:8" ht="5.0999999999999996" customHeight="1" x14ac:dyDescent="0.2">
      <c r="A27" s="42"/>
      <c r="B27" s="169"/>
      <c r="C27" s="134"/>
      <c r="D27" s="258"/>
      <c r="E27" s="44"/>
      <c r="F27" s="44"/>
      <c r="G27" s="144"/>
    </row>
    <row r="28" spans="1:8" ht="12.75" customHeight="1" x14ac:dyDescent="0.2">
      <c r="A28" s="35" t="s">
        <v>455</v>
      </c>
      <c r="B28" s="169"/>
      <c r="C28" s="134"/>
      <c r="D28" s="258"/>
      <c r="E28" s="44"/>
      <c r="F28" s="44"/>
      <c r="G28" s="144"/>
    </row>
    <row r="29" spans="1:8" ht="12.75" customHeight="1" x14ac:dyDescent="0.2">
      <c r="A29" s="87" t="s">
        <v>545</v>
      </c>
      <c r="B29" s="175"/>
      <c r="C29" s="134"/>
      <c r="D29" s="258"/>
      <c r="E29" s="44"/>
      <c r="F29" s="44"/>
      <c r="G29" s="144"/>
    </row>
    <row r="30" spans="1:8" ht="12.75" customHeight="1" x14ac:dyDescent="0.2">
      <c r="A30" s="39" t="s">
        <v>744</v>
      </c>
      <c r="B30" s="169"/>
      <c r="C30" s="748"/>
      <c r="D30" s="753"/>
      <c r="E30" s="733"/>
      <c r="F30" s="733"/>
      <c r="G30" s="735"/>
    </row>
    <row r="31" spans="1:8" ht="12.75" customHeight="1" x14ac:dyDescent="0.2">
      <c r="A31" s="39" t="s">
        <v>779</v>
      </c>
      <c r="B31" s="169"/>
      <c r="C31" s="748"/>
      <c r="D31" s="753">
        <v>85380595.876948789</v>
      </c>
      <c r="E31" s="733"/>
      <c r="F31" s="733">
        <v>61406754.710000001</v>
      </c>
      <c r="G31" s="735">
        <f>D31</f>
        <v>85380595.876948789</v>
      </c>
    </row>
    <row r="32" spans="1:8" ht="12.75" customHeight="1" x14ac:dyDescent="0.2">
      <c r="A32" s="39" t="s">
        <v>583</v>
      </c>
      <c r="B32" s="169"/>
      <c r="C32" s="748"/>
      <c r="D32" s="753">
        <v>114344430.65218705</v>
      </c>
      <c r="E32" s="733"/>
      <c r="F32" s="733">
        <v>117610124.98</v>
      </c>
      <c r="G32" s="735">
        <f>D32</f>
        <v>114344430.65218705</v>
      </c>
    </row>
    <row r="33" spans="1:7" ht="12.75" customHeight="1" x14ac:dyDescent="0.2">
      <c r="A33" s="39" t="s">
        <v>787</v>
      </c>
      <c r="B33" s="169"/>
      <c r="C33" s="748"/>
      <c r="D33" s="753">
        <v>1101595513.0999999</v>
      </c>
      <c r="E33" s="733"/>
      <c r="F33" s="733">
        <v>1379701174.3900001</v>
      </c>
      <c r="G33" s="735">
        <f>D33</f>
        <v>1101595513.0999999</v>
      </c>
    </row>
    <row r="34" spans="1:7" ht="12.75" customHeight="1" x14ac:dyDescent="0.2">
      <c r="A34" s="39" t="s">
        <v>546</v>
      </c>
      <c r="B34" s="169"/>
      <c r="C34" s="748"/>
      <c r="D34" s="753">
        <v>140397811.785</v>
      </c>
      <c r="E34" s="733"/>
      <c r="F34" s="733">
        <v>39036244</v>
      </c>
      <c r="G34" s="735">
        <f>D34</f>
        <v>140397811.785</v>
      </c>
    </row>
    <row r="35" spans="1:7" ht="12.75" customHeight="1" x14ac:dyDescent="0.2">
      <c r="A35" s="92" t="s">
        <v>459</v>
      </c>
      <c r="B35" s="233"/>
      <c r="C35" s="243">
        <f>SUM(C30:C34)</f>
        <v>0</v>
      </c>
      <c r="D35" s="260">
        <f>SUM(D30:D34)</f>
        <v>1441718351.4141357</v>
      </c>
      <c r="E35" s="73">
        <f>SUM(E30:E34)</f>
        <v>0</v>
      </c>
      <c r="F35" s="73">
        <f>SUM(F30:F34)</f>
        <v>1597754298.0800002</v>
      </c>
      <c r="G35" s="145">
        <f>SUM(G30:G34)</f>
        <v>1441718351.4141357</v>
      </c>
    </row>
    <row r="36" spans="1:7" ht="5.0999999999999996" customHeight="1" x14ac:dyDescent="0.2">
      <c r="A36" s="42"/>
      <c r="B36" s="169"/>
      <c r="C36" s="134"/>
      <c r="D36" s="258"/>
      <c r="E36" s="44"/>
      <c r="F36" s="44"/>
      <c r="G36" s="144"/>
    </row>
    <row r="37" spans="1:7" ht="12.75" customHeight="1" x14ac:dyDescent="0.2">
      <c r="A37" s="87" t="s">
        <v>457</v>
      </c>
      <c r="B37" s="169"/>
      <c r="C37" s="134"/>
      <c r="D37" s="258"/>
      <c r="E37" s="44"/>
      <c r="F37" s="44"/>
      <c r="G37" s="144"/>
    </row>
    <row r="38" spans="1:7" ht="12.75" customHeight="1" x14ac:dyDescent="0.2">
      <c r="A38" s="39" t="s">
        <v>779</v>
      </c>
      <c r="B38" s="169"/>
      <c r="C38" s="748"/>
      <c r="D38" s="753">
        <v>282085537</v>
      </c>
      <c r="E38" s="733"/>
      <c r="F38" s="733">
        <v>285317995.64999998</v>
      </c>
      <c r="G38" s="735">
        <f>D38</f>
        <v>282085537</v>
      </c>
    </row>
    <row r="39" spans="1:7" ht="12.75" customHeight="1" x14ac:dyDescent="0.2">
      <c r="A39" s="39" t="s">
        <v>546</v>
      </c>
      <c r="B39" s="169"/>
      <c r="C39" s="748"/>
      <c r="D39" s="753">
        <v>809779414.93056619</v>
      </c>
      <c r="E39" s="733"/>
      <c r="F39" s="733">
        <v>534772329.63999999</v>
      </c>
      <c r="G39" s="735">
        <f>D39</f>
        <v>809779414.93056619</v>
      </c>
    </row>
    <row r="40" spans="1:7" ht="12.75" customHeight="1" x14ac:dyDescent="0.2">
      <c r="A40" s="92" t="s">
        <v>458</v>
      </c>
      <c r="B40" s="233"/>
      <c r="C40" s="243">
        <f>SUM(C38:C39)</f>
        <v>0</v>
      </c>
      <c r="D40" s="260">
        <f>SUM(D38:D39)</f>
        <v>1091864951.9305663</v>
      </c>
      <c r="E40" s="73">
        <f>SUM(E38:E39)</f>
        <v>0</v>
      </c>
      <c r="F40" s="73">
        <f>SUM(F38:F39)</f>
        <v>820090325.28999996</v>
      </c>
      <c r="G40" s="145">
        <f>SUM(G38:G39)</f>
        <v>1091864951.9305663</v>
      </c>
    </row>
    <row r="41" spans="1:7" ht="12.75" customHeight="1" x14ac:dyDescent="0.2">
      <c r="A41" s="92" t="s">
        <v>1</v>
      </c>
      <c r="B41" s="233"/>
      <c r="C41" s="243">
        <f>C35+C40</f>
        <v>0</v>
      </c>
      <c r="D41" s="260">
        <f>D35+D40</f>
        <v>2533583303.3447018</v>
      </c>
      <c r="E41" s="73">
        <f>E35+E40</f>
        <v>0</v>
      </c>
      <c r="F41" s="73">
        <f>F35+F40</f>
        <v>2417844623.3699999</v>
      </c>
      <c r="G41" s="145">
        <f>G35+G40</f>
        <v>2533583303.3447018</v>
      </c>
    </row>
    <row r="42" spans="1:7" ht="5.0999999999999996" customHeight="1" x14ac:dyDescent="0.2">
      <c r="A42" s="42"/>
      <c r="B42" s="169"/>
      <c r="C42" s="134"/>
      <c r="D42" s="258"/>
      <c r="E42" s="44"/>
      <c r="F42" s="44"/>
      <c r="G42" s="144"/>
    </row>
    <row r="43" spans="1:7" ht="12.75" customHeight="1" x14ac:dyDescent="0.2">
      <c r="A43" s="94" t="s">
        <v>777</v>
      </c>
      <c r="B43" s="119">
        <v>2</v>
      </c>
      <c r="C43" s="244">
        <f>C26-C41</f>
        <v>0</v>
      </c>
      <c r="D43" s="265">
        <f>D26-D41</f>
        <v>8779187113.8762474</v>
      </c>
      <c r="E43" s="76">
        <f>E26-E41</f>
        <v>0</v>
      </c>
      <c r="F43" s="76">
        <f>F26-F41</f>
        <v>7639105657.2300024</v>
      </c>
      <c r="G43" s="234">
        <f>G26-G41</f>
        <v>8779187113.8762474</v>
      </c>
    </row>
    <row r="44" spans="1:7" ht="5.0999999999999996" customHeight="1" x14ac:dyDescent="0.2">
      <c r="A44" s="42"/>
      <c r="B44" s="169"/>
      <c r="C44" s="134"/>
      <c r="D44" s="258"/>
      <c r="E44" s="44"/>
      <c r="F44" s="44"/>
      <c r="G44" s="144"/>
    </row>
    <row r="45" spans="1:7" ht="12.75" customHeight="1" x14ac:dyDescent="0.2">
      <c r="A45" s="35" t="s">
        <v>633</v>
      </c>
      <c r="B45" s="169"/>
      <c r="C45" s="134"/>
      <c r="D45" s="258"/>
      <c r="E45" s="44"/>
      <c r="F45" s="44"/>
      <c r="G45" s="144"/>
    </row>
    <row r="46" spans="1:7" ht="12.75" customHeight="1" x14ac:dyDescent="0.2">
      <c r="A46" s="39" t="s">
        <v>569</v>
      </c>
      <c r="B46" s="169"/>
      <c r="C46" s="748"/>
      <c r="D46" s="753">
        <v>8550273855.8762474</v>
      </c>
      <c r="E46" s="733"/>
      <c r="F46" s="733">
        <v>7449200176.4399996</v>
      </c>
      <c r="G46" s="735">
        <f>D46</f>
        <v>8550273855.8762474</v>
      </c>
    </row>
    <row r="47" spans="1:7" ht="12.75" customHeight="1" x14ac:dyDescent="0.2">
      <c r="A47" s="39" t="s">
        <v>902</v>
      </c>
      <c r="B47" s="169"/>
      <c r="C47" s="748"/>
      <c r="D47" s="753">
        <v>228913258</v>
      </c>
      <c r="E47" s="733"/>
      <c r="F47" s="733">
        <v>189905480.79000273</v>
      </c>
      <c r="G47" s="735">
        <f>D47</f>
        <v>228913258</v>
      </c>
    </row>
    <row r="48" spans="1:7" ht="12.75" customHeight="1" x14ac:dyDescent="0.2">
      <c r="A48" s="53" t="s">
        <v>626</v>
      </c>
      <c r="B48" s="236">
        <v>2</v>
      </c>
      <c r="C48" s="112">
        <f>SUM(C46:C47)</f>
        <v>0</v>
      </c>
      <c r="D48" s="271">
        <f>SUM(D46:D47)</f>
        <v>8779187113.8762474</v>
      </c>
      <c r="E48" s="55">
        <f>SUM(E46:E47)</f>
        <v>0</v>
      </c>
      <c r="F48" s="55">
        <f>SUM(F46:F47)</f>
        <v>7639105657.2300024</v>
      </c>
      <c r="G48" s="235">
        <f>SUM(G46:G47)</f>
        <v>8779187113.8762474</v>
      </c>
    </row>
    <row r="49" spans="1:7" ht="12.75" customHeight="1" x14ac:dyDescent="0.2">
      <c r="A49" s="78" t="str">
        <f>head27a</f>
        <v>References</v>
      </c>
      <c r="B49" s="58"/>
      <c r="C49" s="49"/>
      <c r="D49" s="49"/>
      <c r="E49" s="49"/>
      <c r="F49" s="49"/>
      <c r="G49" s="49"/>
    </row>
    <row r="50" spans="1:7" ht="13.5" customHeight="1" x14ac:dyDescent="0.2">
      <c r="A50" s="1056" t="s">
        <v>145</v>
      </c>
      <c r="B50" s="1056"/>
      <c r="C50" s="1056"/>
      <c r="D50" s="1056"/>
      <c r="E50" s="1056"/>
      <c r="F50" s="1056"/>
      <c r="G50" s="1056"/>
    </row>
    <row r="51" spans="1:7" ht="13.5" customHeight="1" x14ac:dyDescent="0.2">
      <c r="A51" s="80" t="s">
        <v>898</v>
      </c>
      <c r="B51" s="64"/>
      <c r="C51" s="79"/>
      <c r="D51" s="79"/>
      <c r="E51" s="79"/>
      <c r="F51" s="79"/>
      <c r="G51" s="79"/>
    </row>
    <row r="52" spans="1:7" ht="11.25" customHeight="1" x14ac:dyDescent="0.2">
      <c r="A52" s="80"/>
      <c r="B52" s="64"/>
      <c r="C52" s="79"/>
      <c r="D52" s="79"/>
      <c r="E52" s="79"/>
      <c r="F52" s="79"/>
      <c r="G52" s="79"/>
    </row>
    <row r="53" spans="1:7" ht="11.25" customHeight="1" x14ac:dyDescent="0.2">
      <c r="A53" s="80"/>
      <c r="B53" s="64"/>
      <c r="C53" s="79"/>
      <c r="D53" s="79"/>
      <c r="E53" s="79"/>
      <c r="F53" s="79"/>
      <c r="G53" s="79"/>
    </row>
    <row r="54" spans="1:7" ht="11.25" customHeight="1" x14ac:dyDescent="0.2">
      <c r="A54" s="65" t="s">
        <v>720</v>
      </c>
      <c r="B54" s="64"/>
      <c r="C54" s="118">
        <f>C43-C48</f>
        <v>0</v>
      </c>
      <c r="D54" s="118">
        <f>D43-D48</f>
        <v>0</v>
      </c>
      <c r="E54" s="118">
        <f>E43-E48</f>
        <v>0</v>
      </c>
      <c r="F54" s="118">
        <f>F43-F48</f>
        <v>0</v>
      </c>
      <c r="G54" s="118">
        <f>G43-G48</f>
        <v>0</v>
      </c>
    </row>
    <row r="55" spans="1:7" ht="11.25" customHeight="1" x14ac:dyDescent="0.2">
      <c r="A55" s="67"/>
      <c r="B55" s="58"/>
      <c r="C55" s="67"/>
      <c r="D55" s="67"/>
      <c r="E55" s="67"/>
      <c r="F55" s="67"/>
      <c r="G55" s="67"/>
    </row>
    <row r="56" spans="1:7" ht="11.25" customHeight="1" x14ac:dyDescent="0.2">
      <c r="B56" s="25"/>
    </row>
    <row r="57" spans="1:7" ht="11.25" customHeight="1" x14ac:dyDescent="0.2">
      <c r="B57" s="25"/>
    </row>
    <row r="58" spans="1:7" ht="11.25" customHeight="1" x14ac:dyDescent="0.2">
      <c r="B58" s="25"/>
    </row>
    <row r="59" spans="1:7" ht="11.25" customHeight="1" x14ac:dyDescent="0.2">
      <c r="B59" s="25"/>
    </row>
    <row r="60" spans="1:7" ht="11.25" customHeight="1" x14ac:dyDescent="0.2">
      <c r="B60" s="25"/>
    </row>
    <row r="61" spans="1:7" ht="11.25" customHeight="1" x14ac:dyDescent="0.2">
      <c r="B61" s="25"/>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tabSelected="1" zoomScaleNormal="100" workbookViewId="0">
      <pane xSplit="2" ySplit="4" topLeftCell="C25" activePane="bottomRight" state="frozen"/>
      <selection pane="topRight"/>
      <selection pane="bottomLeft"/>
      <selection pane="bottomRight" activeCell="H31" sqref="H31"/>
    </sheetView>
  </sheetViews>
  <sheetFormatPr defaultColWidth="9.109375" defaultRowHeight="10.199999999999999" x14ac:dyDescent="0.2"/>
  <cols>
    <col min="1" max="1" width="36"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"&amp;S71F&amp; " - "&amp;date</f>
        <v>KZN225 Msunduzi - Table C7 Consolidated Monthly Budget Statement - Cash Flow  - Q1 First Quarter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667</v>
      </c>
      <c r="B4" s="119">
        <v>1</v>
      </c>
      <c r="C4" s="187"/>
      <c r="D4" s="240"/>
      <c r="E4" s="241"/>
      <c r="F4" s="82"/>
      <c r="G4" s="82"/>
      <c r="H4" s="82"/>
      <c r="I4" s="82"/>
      <c r="J4" s="242" t="s">
        <v>575</v>
      </c>
      <c r="K4" s="223"/>
    </row>
    <row r="5" spans="1:11" ht="12.75" customHeight="1" x14ac:dyDescent="0.2">
      <c r="A5" s="272" t="s">
        <v>837</v>
      </c>
      <c r="B5" s="186"/>
      <c r="C5" s="170"/>
      <c r="D5" s="37"/>
      <c r="E5" s="36"/>
      <c r="F5" s="36"/>
      <c r="G5" s="36"/>
      <c r="H5" s="36"/>
      <c r="I5" s="36"/>
      <c r="J5" s="36"/>
      <c r="K5" s="226"/>
    </row>
    <row r="6" spans="1:11" ht="12.75" customHeight="1" x14ac:dyDescent="0.2">
      <c r="A6" s="87" t="s">
        <v>896</v>
      </c>
      <c r="B6" s="169"/>
      <c r="C6" s="40"/>
      <c r="D6" s="104"/>
      <c r="E6" s="103"/>
      <c r="F6" s="103"/>
      <c r="G6" s="103"/>
      <c r="H6" s="103"/>
      <c r="I6" s="103"/>
      <c r="J6" s="103"/>
      <c r="K6" s="266"/>
    </row>
    <row r="7" spans="1:11" ht="12.75" customHeight="1" x14ac:dyDescent="0.2">
      <c r="A7" s="518" t="s">
        <v>931</v>
      </c>
      <c r="B7" s="169"/>
      <c r="C7" s="748"/>
      <c r="D7" s="745">
        <v>1079325404.9185297</v>
      </c>
      <c r="E7" s="733"/>
      <c r="F7" s="733">
        <v>72091424.269999996</v>
      </c>
      <c r="G7" s="733">
        <v>137200485.66999972</v>
      </c>
      <c r="H7" s="733">
        <f>D7/12*3</f>
        <v>269831351.22963244</v>
      </c>
      <c r="I7" s="44">
        <f t="shared" ref="I7:I13" si="0">G7-H7</f>
        <v>-132630865.55963272</v>
      </c>
      <c r="J7" s="330">
        <f>IF(I7=0,"",I7/H7)</f>
        <v>-0.4915324514932326</v>
      </c>
      <c r="K7" s="735">
        <f t="shared" ref="K7:K12" si="1">D7</f>
        <v>1079325404.9185297</v>
      </c>
    </row>
    <row r="8" spans="1:11" ht="12.75" customHeight="1" x14ac:dyDescent="0.2">
      <c r="A8" s="518" t="s">
        <v>962</v>
      </c>
      <c r="B8" s="169"/>
      <c r="C8" s="748"/>
      <c r="D8" s="745">
        <v>3039399061.9489746</v>
      </c>
      <c r="E8" s="733"/>
      <c r="F8" s="733">
        <v>218966797.37000099</v>
      </c>
      <c r="G8" s="733">
        <v>405761038.22000301</v>
      </c>
      <c r="H8" s="733">
        <f t="shared" ref="H8:H12" si="2">D8/12*3</f>
        <v>759849765.48724365</v>
      </c>
      <c r="I8" s="44">
        <f t="shared" si="0"/>
        <v>-354088727.26724064</v>
      </c>
      <c r="J8" s="330">
        <f>IF(I8=0,"",I8/H8)</f>
        <v>-0.46599833723734313</v>
      </c>
      <c r="K8" s="735">
        <f t="shared" si="1"/>
        <v>3039399061.9489746</v>
      </c>
    </row>
    <row r="9" spans="1:11" ht="12.75" customHeight="1" x14ac:dyDescent="0.2">
      <c r="A9" s="518" t="s">
        <v>453</v>
      </c>
      <c r="B9" s="169"/>
      <c r="C9" s="748"/>
      <c r="D9" s="745">
        <v>152193014.45782498</v>
      </c>
      <c r="E9" s="733"/>
      <c r="F9" s="733">
        <v>101480552.36999901</v>
      </c>
      <c r="G9" s="733">
        <v>220988216.25999749</v>
      </c>
      <c r="H9" s="733">
        <f t="shared" si="2"/>
        <v>38048253.614456244</v>
      </c>
      <c r="I9" s="44">
        <f t="shared" si="0"/>
        <v>182939962.64554125</v>
      </c>
      <c r="J9" s="330">
        <f>IF(I9=0,"",I9/H9)</f>
        <v>4.8081040591054656</v>
      </c>
      <c r="K9" s="735">
        <f t="shared" si="1"/>
        <v>152193014.45782498</v>
      </c>
    </row>
    <row r="10" spans="1:11" ht="12.75" customHeight="1" x14ac:dyDescent="0.2">
      <c r="A10" s="992" t="s">
        <v>1372</v>
      </c>
      <c r="B10" s="171"/>
      <c r="C10" s="748"/>
      <c r="D10" s="745">
        <v>675483240</v>
      </c>
      <c r="E10" s="733"/>
      <c r="F10" s="733"/>
      <c r="G10" s="733">
        <v>301948058.13999999</v>
      </c>
      <c r="H10" s="733">
        <f t="shared" si="2"/>
        <v>168870810</v>
      </c>
      <c r="I10" s="44">
        <f t="shared" si="0"/>
        <v>133077248.13999999</v>
      </c>
      <c r="J10" s="330">
        <f>IF(I10=0,"",I10/H10)</f>
        <v>0.7880417470609633</v>
      </c>
      <c r="K10" s="735">
        <f t="shared" si="1"/>
        <v>675483240</v>
      </c>
    </row>
    <row r="11" spans="1:11" ht="12.75" customHeight="1" x14ac:dyDescent="0.2">
      <c r="A11" s="992" t="s">
        <v>1373</v>
      </c>
      <c r="B11" s="171"/>
      <c r="C11" s="748"/>
      <c r="D11" s="745">
        <v>525891580.99999982</v>
      </c>
      <c r="E11" s="733"/>
      <c r="F11" s="733">
        <v>4215397.12</v>
      </c>
      <c r="G11" s="733">
        <v>34561789.240000002</v>
      </c>
      <c r="H11" s="733">
        <f t="shared" si="2"/>
        <v>131472895.24999994</v>
      </c>
      <c r="I11" s="44">
        <f t="shared" si="0"/>
        <v>-96911106.009999931</v>
      </c>
      <c r="J11" s="330">
        <f t="shared" ref="J11:J18" si="3">IF(I11=0,"",I11/H11)</f>
        <v>-0.73711852032862246</v>
      </c>
      <c r="K11" s="735">
        <f t="shared" si="1"/>
        <v>525891580.99999982</v>
      </c>
    </row>
    <row r="12" spans="1:11" ht="12.75" customHeight="1" x14ac:dyDescent="0.2">
      <c r="A12" s="86" t="s">
        <v>886</v>
      </c>
      <c r="B12" s="171"/>
      <c r="C12" s="748"/>
      <c r="D12" s="745">
        <v>185060483.86592242</v>
      </c>
      <c r="E12" s="733"/>
      <c r="F12" s="733">
        <v>4626</v>
      </c>
      <c r="G12" s="733"/>
      <c r="H12" s="733">
        <f t="shared" si="2"/>
        <v>46265120.966480605</v>
      </c>
      <c r="I12" s="44">
        <f t="shared" si="0"/>
        <v>-46265120.966480605</v>
      </c>
      <c r="J12" s="330">
        <f t="shared" si="3"/>
        <v>-1</v>
      </c>
      <c r="K12" s="735">
        <f t="shared" si="1"/>
        <v>185060483.86592242</v>
      </c>
    </row>
    <row r="13" spans="1:11" ht="12.75" customHeight="1" x14ac:dyDescent="0.2">
      <c r="A13" s="86" t="s">
        <v>666</v>
      </c>
      <c r="B13" s="171"/>
      <c r="C13" s="748"/>
      <c r="D13" s="745"/>
      <c r="E13" s="733"/>
      <c r="F13" s="733"/>
      <c r="G13" s="733"/>
      <c r="H13" s="733"/>
      <c r="I13" s="44">
        <f t="shared" si="0"/>
        <v>0</v>
      </c>
      <c r="J13" s="330" t="str">
        <f t="shared" si="3"/>
        <v/>
      </c>
      <c r="K13" s="735"/>
    </row>
    <row r="14" spans="1:11" ht="12.75" customHeight="1" x14ac:dyDescent="0.2">
      <c r="A14" s="88" t="s">
        <v>897</v>
      </c>
      <c r="B14" s="171"/>
      <c r="C14" s="134"/>
      <c r="D14" s="46"/>
      <c r="E14" s="44"/>
      <c r="F14" s="44"/>
      <c r="G14" s="44"/>
      <c r="H14" s="44"/>
      <c r="I14" s="44"/>
      <c r="J14" s="330"/>
      <c r="K14" s="144"/>
    </row>
    <row r="15" spans="1:11" ht="12.75" customHeight="1" x14ac:dyDescent="0.2">
      <c r="A15" s="86" t="s">
        <v>696</v>
      </c>
      <c r="B15" s="171"/>
      <c r="C15" s="748"/>
      <c r="D15" s="745">
        <v>-4847945682.0956488</v>
      </c>
      <c r="E15" s="733"/>
      <c r="F15" s="733">
        <f>-499096406.78-1167576</f>
        <v>-500263982.77999997</v>
      </c>
      <c r="G15" s="733">
        <v>-1147606497.0799999</v>
      </c>
      <c r="H15" s="733">
        <f t="shared" ref="H15:H17" si="4">D15/12*3</f>
        <v>-1211986420.5239122</v>
      </c>
      <c r="I15" s="44">
        <f>H15-G15</f>
        <v>-64379923.443912268</v>
      </c>
      <c r="J15" s="330">
        <f t="shared" si="3"/>
        <v>5.3119343875224607E-2</v>
      </c>
      <c r="K15" s="735">
        <f>D15</f>
        <v>-4847945682.0956488</v>
      </c>
    </row>
    <row r="16" spans="1:11" ht="12.75" customHeight="1" x14ac:dyDescent="0.2">
      <c r="A16" s="86" t="s">
        <v>452</v>
      </c>
      <c r="B16" s="171"/>
      <c r="C16" s="748"/>
      <c r="D16" s="745">
        <v>-31793212.220000003</v>
      </c>
      <c r="E16" s="733"/>
      <c r="F16" s="733">
        <v>-7584129.6500000004</v>
      </c>
      <c r="G16" s="733">
        <v>-12188526.43</v>
      </c>
      <c r="H16" s="733">
        <f t="shared" si="4"/>
        <v>-7948303.0550000016</v>
      </c>
      <c r="I16" s="44">
        <f>H16-G16</f>
        <v>4240223.3749999981</v>
      </c>
      <c r="J16" s="330">
        <f t="shared" si="3"/>
        <v>-0.53347530229520135</v>
      </c>
      <c r="K16" s="735">
        <f>D16</f>
        <v>-31793212.220000003</v>
      </c>
    </row>
    <row r="17" spans="1:11" ht="12.75" customHeight="1" x14ac:dyDescent="0.2">
      <c r="A17" s="86" t="s">
        <v>69</v>
      </c>
      <c r="B17" s="171"/>
      <c r="C17" s="748"/>
      <c r="D17" s="745">
        <v>-25080461.44304001</v>
      </c>
      <c r="E17" s="733"/>
      <c r="F17" s="733"/>
      <c r="G17" s="733"/>
      <c r="H17" s="733">
        <f t="shared" si="4"/>
        <v>-6270115.3607600024</v>
      </c>
      <c r="I17" s="44">
        <f>H17-G17</f>
        <v>-6270115.3607600024</v>
      </c>
      <c r="J17" s="330">
        <f t="shared" si="3"/>
        <v>1</v>
      </c>
      <c r="K17" s="735">
        <f>D17</f>
        <v>-25080461.44304001</v>
      </c>
    </row>
    <row r="18" spans="1:11" ht="12.75" customHeight="1" x14ac:dyDescent="0.2">
      <c r="A18" s="92" t="s">
        <v>889</v>
      </c>
      <c r="B18" s="233"/>
      <c r="C18" s="243">
        <f t="shared" ref="C18:H18" si="5">SUM(C7:C13)+SUM(C15:C17)</f>
        <v>0</v>
      </c>
      <c r="D18" s="74">
        <f t="shared" si="5"/>
        <v>752533430.43256187</v>
      </c>
      <c r="E18" s="73">
        <f t="shared" si="5"/>
        <v>0</v>
      </c>
      <c r="F18" s="73">
        <f t="shared" si="5"/>
        <v>-111089315.29999995</v>
      </c>
      <c r="G18" s="73">
        <f t="shared" si="5"/>
        <v>-59335435.979999781</v>
      </c>
      <c r="H18" s="73">
        <f t="shared" si="5"/>
        <v>188133357.60814047</v>
      </c>
      <c r="I18" s="73">
        <f>H18-G18</f>
        <v>247468793.58814025</v>
      </c>
      <c r="J18" s="331">
        <f t="shared" si="3"/>
        <v>1.3153902993832092</v>
      </c>
      <c r="K18" s="145">
        <f>SUM(K7:K13)+SUM(K15:K17)</f>
        <v>752533430.43256187</v>
      </c>
    </row>
    <row r="19" spans="1:11" ht="5.0999999999999996" customHeight="1" x14ac:dyDescent="0.2">
      <c r="A19" s="42"/>
      <c r="B19" s="169"/>
      <c r="C19" s="134"/>
      <c r="D19" s="46"/>
      <c r="E19" s="44"/>
      <c r="F19" s="44"/>
      <c r="G19" s="44"/>
      <c r="H19" s="44"/>
      <c r="I19" s="44"/>
      <c r="J19" s="44"/>
      <c r="K19" s="144"/>
    </row>
    <row r="20" spans="1:11" ht="12.75" customHeight="1" x14ac:dyDescent="0.2">
      <c r="A20" s="87" t="s">
        <v>721</v>
      </c>
      <c r="B20" s="169"/>
      <c r="C20" s="134"/>
      <c r="D20" s="46"/>
      <c r="E20" s="44"/>
      <c r="F20" s="44"/>
      <c r="G20" s="44"/>
      <c r="H20" s="44"/>
      <c r="I20" s="44"/>
      <c r="J20" s="44"/>
      <c r="K20" s="144"/>
    </row>
    <row r="21" spans="1:11" ht="12.75" customHeight="1" x14ac:dyDescent="0.2">
      <c r="A21" s="87" t="s">
        <v>896</v>
      </c>
      <c r="B21" s="169"/>
      <c r="C21" s="134"/>
      <c r="D21" s="46"/>
      <c r="E21" s="44"/>
      <c r="F21" s="44"/>
      <c r="G21" s="44"/>
      <c r="H21" s="44"/>
      <c r="I21" s="44"/>
      <c r="J21" s="44"/>
      <c r="K21" s="144"/>
    </row>
    <row r="22" spans="1:11" ht="12.75" customHeight="1" x14ac:dyDescent="0.2">
      <c r="A22" s="86" t="s">
        <v>922</v>
      </c>
      <c r="B22" s="169"/>
      <c r="C22" s="748"/>
      <c r="D22" s="745"/>
      <c r="E22" s="733"/>
      <c r="F22" s="733"/>
      <c r="G22" s="733"/>
      <c r="H22" s="733"/>
      <c r="I22" s="44">
        <f>G22-H22</f>
        <v>0</v>
      </c>
      <c r="J22" s="330" t="str">
        <f t="shared" ref="J22:J28" si="6">IF(I22=0,"",I22/H22)</f>
        <v/>
      </c>
      <c r="K22" s="735"/>
    </row>
    <row r="23" spans="1:11" ht="12.75" hidden="1" customHeight="1" x14ac:dyDescent="0.2">
      <c r="A23" s="39"/>
      <c r="B23" s="169"/>
      <c r="C23" s="648"/>
      <c r="D23" s="649"/>
      <c r="E23" s="408"/>
      <c r="F23" s="408"/>
      <c r="G23" s="408"/>
      <c r="H23" s="408"/>
      <c r="I23" s="408"/>
      <c r="J23" s="947"/>
      <c r="K23" s="642"/>
    </row>
    <row r="24" spans="1:11" ht="12.75" customHeight="1" x14ac:dyDescent="0.2">
      <c r="A24" s="992" t="s">
        <v>1371</v>
      </c>
      <c r="B24" s="175"/>
      <c r="C24" s="748"/>
      <c r="D24" s="745"/>
      <c r="E24" s="733"/>
      <c r="F24" s="733"/>
      <c r="G24" s="733"/>
      <c r="H24" s="733"/>
      <c r="I24" s="44">
        <f>G24-H24</f>
        <v>0</v>
      </c>
      <c r="J24" s="330" t="str">
        <f t="shared" si="6"/>
        <v/>
      </c>
      <c r="K24" s="735"/>
    </row>
    <row r="25" spans="1:11" ht="12.75" customHeight="1" x14ac:dyDescent="0.2">
      <c r="A25" s="39" t="s">
        <v>888</v>
      </c>
      <c r="B25" s="169"/>
      <c r="C25" s="748"/>
      <c r="D25" s="745"/>
      <c r="E25" s="733"/>
      <c r="F25" s="733"/>
      <c r="G25" s="733"/>
      <c r="H25" s="733"/>
      <c r="I25" s="44">
        <f>G25-H25</f>
        <v>0</v>
      </c>
      <c r="J25" s="330" t="str">
        <f t="shared" si="6"/>
        <v/>
      </c>
      <c r="K25" s="735"/>
    </row>
    <row r="26" spans="1:11" ht="12.75" customHeight="1" x14ac:dyDescent="0.2">
      <c r="A26" s="87" t="s">
        <v>897</v>
      </c>
      <c r="B26" s="169"/>
      <c r="C26" s="134"/>
      <c r="D26" s="46"/>
      <c r="E26" s="44"/>
      <c r="F26" s="44"/>
      <c r="G26" s="44"/>
      <c r="H26" s="44"/>
      <c r="I26" s="44"/>
      <c r="J26" s="44"/>
      <c r="K26" s="144"/>
    </row>
    <row r="27" spans="1:11" ht="12.75" customHeight="1" x14ac:dyDescent="0.2">
      <c r="A27" s="39" t="s">
        <v>697</v>
      </c>
      <c r="B27" s="169"/>
      <c r="C27" s="748"/>
      <c r="D27" s="745">
        <v>-580891580.99999988</v>
      </c>
      <c r="E27" s="733"/>
      <c r="F27" s="733">
        <v>-51590954.259999998</v>
      </c>
      <c r="G27" s="733">
        <v>-32309291.490000002</v>
      </c>
      <c r="H27" s="733">
        <f>D27/12*3</f>
        <v>-145222895.24999997</v>
      </c>
      <c r="I27" s="44">
        <f>H27-G27</f>
        <v>-112913603.75999996</v>
      </c>
      <c r="J27" s="330">
        <f t="shared" si="6"/>
        <v>0.77751929931998776</v>
      </c>
      <c r="K27" s="735">
        <f>D27</f>
        <v>-580891580.99999988</v>
      </c>
    </row>
    <row r="28" spans="1:11" ht="12.75" customHeight="1" x14ac:dyDescent="0.2">
      <c r="A28" s="92" t="s">
        <v>890</v>
      </c>
      <c r="B28" s="233"/>
      <c r="C28" s="545">
        <f t="shared" ref="C28:H28" si="7">SUM(C22:C25)+C27</f>
        <v>0</v>
      </c>
      <c r="D28" s="74">
        <f>SUM(D22:D25)+D27</f>
        <v>-580891580.99999988</v>
      </c>
      <c r="E28" s="73">
        <f t="shared" si="7"/>
        <v>0</v>
      </c>
      <c r="F28" s="73">
        <f t="shared" si="7"/>
        <v>-51590954.259999998</v>
      </c>
      <c r="G28" s="73">
        <f t="shared" si="7"/>
        <v>-32309291.490000002</v>
      </c>
      <c r="H28" s="73">
        <f t="shared" si="7"/>
        <v>-145222895.24999997</v>
      </c>
      <c r="I28" s="73">
        <f>H28-G28</f>
        <v>-112913603.75999996</v>
      </c>
      <c r="J28" s="331">
        <f t="shared" si="6"/>
        <v>0.77751929931998776</v>
      </c>
      <c r="K28" s="145">
        <f>SUM(K22:K25)+K27</f>
        <v>-580891580.99999988</v>
      </c>
    </row>
    <row r="29" spans="1:11" ht="5.0999999999999996" customHeight="1" x14ac:dyDescent="0.2">
      <c r="A29" s="42"/>
      <c r="B29" s="169"/>
      <c r="C29" s="134"/>
      <c r="D29" s="46"/>
      <c r="E29" s="44"/>
      <c r="F29" s="44"/>
      <c r="G29" s="44"/>
      <c r="H29" s="44"/>
      <c r="I29" s="44"/>
      <c r="J29" s="44"/>
      <c r="K29" s="144"/>
    </row>
    <row r="30" spans="1:11" ht="12.75" customHeight="1" x14ac:dyDescent="0.2">
      <c r="A30" s="87" t="s">
        <v>743</v>
      </c>
      <c r="B30" s="169"/>
      <c r="C30" s="134"/>
      <c r="D30" s="46"/>
      <c r="E30" s="44"/>
      <c r="F30" s="44"/>
      <c r="G30" s="44"/>
      <c r="H30" s="44"/>
      <c r="I30" s="44"/>
      <c r="J30" s="44"/>
      <c r="K30" s="144"/>
    </row>
    <row r="31" spans="1:11" ht="12.75" customHeight="1" x14ac:dyDescent="0.2">
      <c r="A31" s="87" t="s">
        <v>896</v>
      </c>
      <c r="B31" s="169"/>
      <c r="C31" s="134"/>
      <c r="D31" s="46"/>
      <c r="E31" s="44"/>
      <c r="F31" s="44"/>
      <c r="G31" s="44"/>
      <c r="H31" s="44"/>
      <c r="I31" s="44"/>
      <c r="J31" s="44"/>
      <c r="K31" s="144"/>
    </row>
    <row r="32" spans="1:11" ht="12.75" customHeight="1" x14ac:dyDescent="0.2">
      <c r="A32" s="39" t="s">
        <v>900</v>
      </c>
      <c r="B32" s="169"/>
      <c r="C32" s="748"/>
      <c r="D32" s="745"/>
      <c r="E32" s="733"/>
      <c r="F32" s="733"/>
      <c r="G32" s="733"/>
      <c r="H32" s="733"/>
      <c r="I32" s="44">
        <f>G32-H32</f>
        <v>0</v>
      </c>
      <c r="J32" s="330" t="str">
        <f t="shared" ref="J32:J37" si="8">IF(I32=0,"",I32/H32)</f>
        <v/>
      </c>
      <c r="K32" s="735"/>
    </row>
    <row r="33" spans="1:11" ht="12.75" customHeight="1" x14ac:dyDescent="0.2">
      <c r="A33" s="39" t="s">
        <v>958</v>
      </c>
      <c r="B33" s="169"/>
      <c r="C33" s="748"/>
      <c r="D33" s="745"/>
      <c r="E33" s="733"/>
      <c r="F33" s="733"/>
      <c r="G33" s="733"/>
      <c r="H33" s="733"/>
      <c r="I33" s="44">
        <f>G33-H33</f>
        <v>0</v>
      </c>
      <c r="J33" s="330" t="str">
        <f t="shared" si="8"/>
        <v/>
      </c>
      <c r="K33" s="735"/>
    </row>
    <row r="34" spans="1:11" ht="12.75" customHeight="1" x14ac:dyDescent="0.2">
      <c r="A34" s="39" t="s">
        <v>70</v>
      </c>
      <c r="B34" s="169"/>
      <c r="C34" s="748"/>
      <c r="D34" s="745"/>
      <c r="E34" s="733"/>
      <c r="F34" s="733"/>
      <c r="G34" s="733"/>
      <c r="H34" s="733"/>
      <c r="I34" s="44">
        <f>G34-H34</f>
        <v>0</v>
      </c>
      <c r="J34" s="330" t="str">
        <f t="shared" si="8"/>
        <v/>
      </c>
      <c r="K34" s="735"/>
    </row>
    <row r="35" spans="1:11" ht="12.75" customHeight="1" x14ac:dyDescent="0.2">
      <c r="A35" s="87" t="s">
        <v>897</v>
      </c>
      <c r="B35" s="169"/>
      <c r="C35" s="134"/>
      <c r="D35" s="46"/>
      <c r="E35" s="44"/>
      <c r="F35" s="44"/>
      <c r="G35" s="44"/>
      <c r="H35" s="44"/>
      <c r="I35" s="44"/>
      <c r="J35" s="330" t="str">
        <f t="shared" si="8"/>
        <v/>
      </c>
      <c r="K35" s="144"/>
    </row>
    <row r="36" spans="1:11" ht="12.75" customHeight="1" x14ac:dyDescent="0.2">
      <c r="A36" s="39" t="s">
        <v>899</v>
      </c>
      <c r="B36" s="169"/>
      <c r="C36" s="748"/>
      <c r="D36" s="745">
        <v>-79206000</v>
      </c>
      <c r="E36" s="733"/>
      <c r="F36" s="733">
        <v>-19566786.379999999</v>
      </c>
      <c r="G36" s="733">
        <v>-20256190.370000001</v>
      </c>
      <c r="H36" s="733">
        <f>D36/12*3</f>
        <v>-19801500</v>
      </c>
      <c r="I36" s="44">
        <f>H36-G36</f>
        <v>454690.37000000104</v>
      </c>
      <c r="J36" s="330">
        <f t="shared" si="8"/>
        <v>-2.2962420523697753E-2</v>
      </c>
      <c r="K36" s="735">
        <f>D36</f>
        <v>-79206000</v>
      </c>
    </row>
    <row r="37" spans="1:11" ht="12.75" customHeight="1" x14ac:dyDescent="0.2">
      <c r="A37" s="92" t="s">
        <v>891</v>
      </c>
      <c r="B37" s="233"/>
      <c r="C37" s="545">
        <f t="shared" ref="C37:H37" si="9">SUM(C32:C34)+C36</f>
        <v>0</v>
      </c>
      <c r="D37" s="74">
        <f t="shared" si="9"/>
        <v>-79206000</v>
      </c>
      <c r="E37" s="73">
        <f t="shared" si="9"/>
        <v>0</v>
      </c>
      <c r="F37" s="73">
        <f t="shared" si="9"/>
        <v>-19566786.379999999</v>
      </c>
      <c r="G37" s="73">
        <f t="shared" si="9"/>
        <v>-20256190.370000001</v>
      </c>
      <c r="H37" s="73">
        <f t="shared" si="9"/>
        <v>-19801500</v>
      </c>
      <c r="I37" s="73">
        <f>H37-G37</f>
        <v>454690.37000000104</v>
      </c>
      <c r="J37" s="331">
        <f t="shared" si="8"/>
        <v>-2.2962420523697753E-2</v>
      </c>
      <c r="K37" s="145">
        <f>SUM(K32:K34)+K36</f>
        <v>-79206000</v>
      </c>
    </row>
    <row r="38" spans="1:11" ht="5.0999999999999996" customHeight="1" x14ac:dyDescent="0.2">
      <c r="A38" s="42"/>
      <c r="B38" s="169"/>
      <c r="C38" s="134"/>
      <c r="D38" s="46"/>
      <c r="E38" s="44"/>
      <c r="F38" s="44"/>
      <c r="G38" s="44"/>
      <c r="H38" s="44"/>
      <c r="I38" s="273"/>
      <c r="J38" s="273"/>
      <c r="K38" s="144"/>
    </row>
    <row r="39" spans="1:11" ht="12.75" customHeight="1" x14ac:dyDescent="0.2">
      <c r="A39" s="87" t="s">
        <v>901</v>
      </c>
      <c r="B39" s="169"/>
      <c r="C39" s="109">
        <f t="shared" ref="C39:H39" si="10">C18+C28+C37</f>
        <v>0</v>
      </c>
      <c r="D39" s="51">
        <f t="shared" si="10"/>
        <v>92435849.432561994</v>
      </c>
      <c r="E39" s="50">
        <f t="shared" si="10"/>
        <v>0</v>
      </c>
      <c r="F39" s="50">
        <f t="shared" si="10"/>
        <v>-182247055.93999994</v>
      </c>
      <c r="G39" s="50">
        <f t="shared" si="10"/>
        <v>-111900917.83999979</v>
      </c>
      <c r="H39" s="50">
        <f t="shared" si="10"/>
        <v>23108962.358140498</v>
      </c>
      <c r="I39" s="327"/>
      <c r="J39" s="327"/>
      <c r="K39" s="194">
        <f>K18+K28+K37</f>
        <v>92435849.432561994</v>
      </c>
    </row>
    <row r="40" spans="1:11" ht="12.75" customHeight="1" x14ac:dyDescent="0.2">
      <c r="A40" s="39" t="s">
        <v>505</v>
      </c>
      <c r="B40" s="169"/>
      <c r="C40" s="748"/>
      <c r="D40" s="745">
        <v>290000000</v>
      </c>
      <c r="E40" s="733"/>
      <c r="F40" s="273"/>
      <c r="G40" s="733">
        <v>470048249</v>
      </c>
      <c r="H40" s="44">
        <f>IF(E40=0, D40, E40)</f>
        <v>290000000</v>
      </c>
      <c r="I40" s="273"/>
      <c r="J40" s="273"/>
      <c r="K40" s="385">
        <f>G40</f>
        <v>470048249</v>
      </c>
    </row>
    <row r="41" spans="1:11" ht="12.75" customHeight="1" x14ac:dyDescent="0.2">
      <c r="A41" s="129" t="s">
        <v>55</v>
      </c>
      <c r="B41" s="119"/>
      <c r="C41" s="225">
        <f>C39+C40</f>
        <v>0</v>
      </c>
      <c r="D41" s="116">
        <f>D39+D40</f>
        <v>382435849.43256199</v>
      </c>
      <c r="E41" s="115">
        <f>E39+E40</f>
        <v>0</v>
      </c>
      <c r="F41" s="274"/>
      <c r="G41" s="115">
        <f>G39+G40</f>
        <v>358147331.16000021</v>
      </c>
      <c r="H41" s="115">
        <f>H39+H40</f>
        <v>313108962.35814047</v>
      </c>
      <c r="I41" s="274"/>
      <c r="J41" s="274"/>
      <c r="K41" s="190">
        <f>K39+K40</f>
        <v>562484098.43256199</v>
      </c>
    </row>
    <row r="42" spans="1:11" ht="11.25" customHeight="1" x14ac:dyDescent="0.2">
      <c r="A42" s="57" t="s">
        <v>646</v>
      </c>
      <c r="B42" s="58"/>
      <c r="C42" s="62"/>
      <c r="D42" s="62"/>
      <c r="E42" s="62"/>
      <c r="F42" s="62"/>
      <c r="G42" s="62"/>
      <c r="H42" s="62"/>
      <c r="I42" s="62"/>
      <c r="J42" s="62"/>
      <c r="K42" s="62"/>
    </row>
    <row r="43" spans="1:11" ht="11.25" customHeight="1" x14ac:dyDescent="0.2">
      <c r="A43" s="80" t="s">
        <v>145</v>
      </c>
      <c r="B43" s="58"/>
      <c r="C43" s="62"/>
      <c r="D43" s="62"/>
      <c r="E43" s="62"/>
      <c r="F43" s="62"/>
      <c r="G43" s="62"/>
      <c r="H43" s="62"/>
      <c r="I43" s="62"/>
      <c r="J43" s="62"/>
      <c r="K43" s="62"/>
    </row>
    <row r="44" spans="1:11" ht="11.25" customHeight="1" x14ac:dyDescent="0.2">
      <c r="B44" s="58"/>
      <c r="C44" s="62"/>
      <c r="D44" s="62"/>
      <c r="E44" s="62"/>
      <c r="F44" s="62"/>
      <c r="G44" s="62"/>
      <c r="H44" s="62"/>
      <c r="I44" s="62"/>
      <c r="J44" s="62"/>
      <c r="K44" s="62"/>
    </row>
    <row r="45" spans="1:11" ht="11.25" customHeight="1" x14ac:dyDescent="0.2">
      <c r="A45" s="80"/>
      <c r="B45" s="58"/>
      <c r="C45" s="62"/>
      <c r="D45" s="62"/>
      <c r="E45" s="62"/>
      <c r="F45" s="62"/>
      <c r="G45" s="62"/>
      <c r="H45" s="62"/>
      <c r="I45" s="62"/>
      <c r="J45" s="62"/>
      <c r="K45" s="62"/>
    </row>
    <row r="46" spans="1:11" ht="11.25" customHeight="1" x14ac:dyDescent="0.2">
      <c r="A46" s="81"/>
      <c r="B46" s="64"/>
      <c r="C46" s="689"/>
      <c r="D46" s="689"/>
      <c r="E46" s="689"/>
      <c r="F46" s="689"/>
      <c r="G46" s="689"/>
      <c r="H46" s="689"/>
      <c r="I46" s="689"/>
      <c r="J46" s="689"/>
      <c r="K46" s="689"/>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109375" defaultRowHeight="10.199999999999999" x14ac:dyDescent="0.2"/>
  <cols>
    <col min="1" max="1" width="4" style="68" customWidth="1"/>
    <col min="2" max="2" width="25.6640625" style="25" customWidth="1"/>
    <col min="3" max="3" width="8.6640625" style="25" customWidth="1"/>
    <col min="4" max="5" width="35.6640625" style="25" customWidth="1"/>
    <col min="6" max="16384" width="9.109375" style="25"/>
  </cols>
  <sheetData>
    <row r="1" spans="1:5" ht="13.8" x14ac:dyDescent="0.3">
      <c r="A1" s="1053" t="str">
        <f>muni&amp; " - "&amp;S71G&amp; " - "&amp;date</f>
        <v>KZN225 Msunduzi - Supporting Table SC1 Material variance explanations  - Q1 First Quarter</v>
      </c>
      <c r="B1" s="1053"/>
      <c r="C1" s="1053"/>
      <c r="D1" s="1053"/>
      <c r="E1" s="1053"/>
    </row>
    <row r="2" spans="1:5" x14ac:dyDescent="0.2">
      <c r="A2" s="1035" t="str">
        <f>head27</f>
        <v>Ref</v>
      </c>
      <c r="B2" s="1042" t="str">
        <f>desc</f>
        <v>Description</v>
      </c>
      <c r="C2" s="269"/>
      <c r="D2" s="269"/>
      <c r="E2" s="275"/>
    </row>
    <row r="3" spans="1:5" x14ac:dyDescent="0.2">
      <c r="A3" s="1046"/>
      <c r="B3" s="1043"/>
      <c r="C3" s="159" t="s">
        <v>438</v>
      </c>
      <c r="D3" s="159" t="s">
        <v>497</v>
      </c>
      <c r="E3" s="28" t="s">
        <v>498</v>
      </c>
    </row>
    <row r="4" spans="1:5" x14ac:dyDescent="0.2">
      <c r="A4" s="119"/>
      <c r="B4" s="34" t="s">
        <v>667</v>
      </c>
      <c r="C4" s="187"/>
      <c r="D4" s="157"/>
      <c r="E4" s="31"/>
    </row>
    <row r="5" spans="1:5" ht="11.25" customHeight="1" x14ac:dyDescent="0.2">
      <c r="A5" s="186">
        <v>1</v>
      </c>
      <c r="B5" s="180" t="str">
        <f>'C4-FinPerf RE'!A5</f>
        <v>Revenue By Source</v>
      </c>
      <c r="C5" s="179"/>
      <c r="D5" s="179"/>
      <c r="E5" s="179"/>
    </row>
    <row r="6" spans="1:5" ht="11.25" customHeight="1" x14ac:dyDescent="0.2">
      <c r="A6" s="169"/>
      <c r="B6" s="758"/>
      <c r="C6" s="748"/>
      <c r="D6" s="758"/>
      <c r="E6" s="758"/>
    </row>
    <row r="7" spans="1:5" ht="11.25" customHeight="1" x14ac:dyDescent="0.2">
      <c r="A7" s="169"/>
      <c r="B7" s="758"/>
      <c r="C7" s="748"/>
      <c r="D7" s="758"/>
      <c r="E7" s="758"/>
    </row>
    <row r="8" spans="1:5" ht="11.25" customHeight="1" x14ac:dyDescent="0.2">
      <c r="A8" s="169"/>
      <c r="B8" s="758"/>
      <c r="C8" s="748"/>
      <c r="D8" s="758"/>
      <c r="E8" s="758"/>
    </row>
    <row r="9" spans="1:5" ht="11.25" customHeight="1" x14ac:dyDescent="0.2">
      <c r="A9" s="169"/>
      <c r="B9" s="758"/>
      <c r="C9" s="748"/>
      <c r="D9" s="758"/>
      <c r="E9" s="758"/>
    </row>
    <row r="10" spans="1:5" ht="11.25" customHeight="1" x14ac:dyDescent="0.2">
      <c r="A10" s="169">
        <v>2</v>
      </c>
      <c r="B10" s="386" t="str">
        <f>'C4-FinPerf RE'!A24</f>
        <v>Expenditure By Type</v>
      </c>
      <c r="C10" s="387"/>
      <c r="D10" s="387"/>
      <c r="E10" s="387"/>
    </row>
    <row r="11" spans="1:5" ht="11.25" customHeight="1" x14ac:dyDescent="0.2">
      <c r="A11" s="169"/>
      <c r="B11" s="758"/>
      <c r="C11" s="748"/>
      <c r="D11" s="758"/>
      <c r="E11" s="758"/>
    </row>
    <row r="12" spans="1:5" ht="11.25" customHeight="1" x14ac:dyDescent="0.2">
      <c r="A12" s="169"/>
      <c r="B12" s="758"/>
      <c r="C12" s="748"/>
      <c r="D12" s="758"/>
      <c r="E12" s="758"/>
    </row>
    <row r="13" spans="1:5" ht="11.25" customHeight="1" x14ac:dyDescent="0.2">
      <c r="A13" s="169"/>
      <c r="B13" s="758"/>
      <c r="C13" s="748"/>
      <c r="D13" s="758"/>
      <c r="E13" s="758"/>
    </row>
    <row r="14" spans="1:5" ht="11.25" customHeight="1" x14ac:dyDescent="0.2">
      <c r="A14" s="169"/>
      <c r="B14" s="758"/>
      <c r="C14" s="748"/>
      <c r="D14" s="758"/>
      <c r="E14" s="758"/>
    </row>
    <row r="15" spans="1:5" ht="11.25" customHeight="1" x14ac:dyDescent="0.2">
      <c r="A15" s="169">
        <v>3</v>
      </c>
      <c r="B15" s="386" t="str">
        <f>RIGHT('C5-Capex'!A40,19)</f>
        <v>Capital Expenditure</v>
      </c>
      <c r="C15" s="387"/>
      <c r="D15" s="387"/>
      <c r="E15" s="387"/>
    </row>
    <row r="16" spans="1:5" ht="11.25" customHeight="1" x14ac:dyDescent="0.2">
      <c r="A16" s="169"/>
      <c r="B16" s="758"/>
      <c r="C16" s="748"/>
      <c r="D16" s="758"/>
      <c r="E16" s="758"/>
    </row>
    <row r="17" spans="1:5" ht="11.25" customHeight="1" x14ac:dyDescent="0.2">
      <c r="A17" s="169"/>
      <c r="B17" s="758"/>
      <c r="C17" s="748"/>
      <c r="D17" s="758"/>
      <c r="E17" s="758"/>
    </row>
    <row r="18" spans="1:5" ht="11.25" customHeight="1" x14ac:dyDescent="0.2">
      <c r="A18" s="169"/>
      <c r="B18" s="758"/>
      <c r="C18" s="748"/>
      <c r="D18" s="758"/>
      <c r="E18" s="758"/>
    </row>
    <row r="19" spans="1:5" ht="11.25" customHeight="1" x14ac:dyDescent="0.2">
      <c r="A19" s="169"/>
      <c r="B19" s="758"/>
      <c r="C19" s="748"/>
      <c r="D19" s="758"/>
      <c r="E19" s="758"/>
    </row>
    <row r="20" spans="1:5" ht="11.25" customHeight="1" x14ac:dyDescent="0.2">
      <c r="A20" s="169">
        <v>4</v>
      </c>
      <c r="B20" s="386" t="s">
        <v>79</v>
      </c>
      <c r="C20" s="387"/>
      <c r="D20" s="387"/>
      <c r="E20" s="387"/>
    </row>
    <row r="21" spans="1:5" ht="11.25" customHeight="1" x14ac:dyDescent="0.2">
      <c r="A21" s="169"/>
      <c r="B21" s="758"/>
      <c r="C21" s="748"/>
      <c r="D21" s="758"/>
      <c r="E21" s="758"/>
    </row>
    <row r="22" spans="1:5" ht="11.25" customHeight="1" x14ac:dyDescent="0.2">
      <c r="A22" s="169"/>
      <c r="B22" s="758"/>
      <c r="C22" s="748"/>
      <c r="D22" s="758"/>
      <c r="E22" s="758"/>
    </row>
    <row r="23" spans="1:5" ht="11.25" customHeight="1" x14ac:dyDescent="0.2">
      <c r="A23" s="169"/>
      <c r="B23" s="758"/>
      <c r="C23" s="748"/>
      <c r="D23" s="758"/>
      <c r="E23" s="758"/>
    </row>
    <row r="24" spans="1:5" ht="11.25" customHeight="1" x14ac:dyDescent="0.2">
      <c r="A24" s="169"/>
      <c r="B24" s="758"/>
      <c r="C24" s="748"/>
      <c r="D24" s="758"/>
      <c r="E24" s="758"/>
    </row>
    <row r="25" spans="1:5" ht="11.25" customHeight="1" x14ac:dyDescent="0.2">
      <c r="A25" s="169">
        <v>5</v>
      </c>
      <c r="B25" s="386" t="s">
        <v>80</v>
      </c>
      <c r="C25" s="387"/>
      <c r="D25" s="387"/>
      <c r="E25" s="387"/>
    </row>
    <row r="26" spans="1:5" ht="11.25" customHeight="1" x14ac:dyDescent="0.2">
      <c r="A26" s="169"/>
      <c r="B26" s="758"/>
      <c r="C26" s="748"/>
      <c r="D26" s="758"/>
      <c r="E26" s="758"/>
    </row>
    <row r="27" spans="1:5" ht="11.25" customHeight="1" x14ac:dyDescent="0.2">
      <c r="A27" s="169"/>
      <c r="B27" s="758"/>
      <c r="C27" s="748"/>
      <c r="D27" s="758"/>
      <c r="E27" s="758"/>
    </row>
    <row r="28" spans="1:5" ht="11.25" customHeight="1" x14ac:dyDescent="0.2">
      <c r="A28" s="169"/>
      <c r="B28" s="758"/>
      <c r="C28" s="748"/>
      <c r="D28" s="758"/>
      <c r="E28" s="758"/>
    </row>
    <row r="29" spans="1:5" ht="11.25" customHeight="1" x14ac:dyDescent="0.2">
      <c r="A29" s="169"/>
      <c r="B29" s="758"/>
      <c r="C29" s="748"/>
      <c r="D29" s="758"/>
      <c r="E29" s="758"/>
    </row>
    <row r="30" spans="1:5" ht="11.25" customHeight="1" x14ac:dyDescent="0.2">
      <c r="A30" s="169">
        <v>6</v>
      </c>
      <c r="B30" s="386" t="s">
        <v>81</v>
      </c>
      <c r="C30" s="388"/>
      <c r="D30" s="387"/>
      <c r="E30" s="387"/>
    </row>
    <row r="31" spans="1:5" ht="11.25" customHeight="1" x14ac:dyDescent="0.2">
      <c r="A31" s="169"/>
      <c r="B31" s="758"/>
      <c r="C31" s="748"/>
      <c r="D31" s="758"/>
      <c r="E31" s="758"/>
    </row>
    <row r="32" spans="1:5" ht="11.25" customHeight="1" x14ac:dyDescent="0.2">
      <c r="A32" s="169"/>
      <c r="B32" s="758"/>
      <c r="C32" s="748"/>
      <c r="D32" s="758"/>
      <c r="E32" s="758"/>
    </row>
    <row r="33" spans="1:5" ht="11.25" customHeight="1" x14ac:dyDescent="0.2">
      <c r="A33" s="169"/>
      <c r="B33" s="758"/>
      <c r="C33" s="748"/>
      <c r="D33" s="758"/>
      <c r="E33" s="758"/>
    </row>
    <row r="34" spans="1:5" ht="11.25" customHeight="1" x14ac:dyDescent="0.2">
      <c r="A34" s="169"/>
      <c r="B34" s="758"/>
      <c r="C34" s="748"/>
      <c r="D34" s="758"/>
      <c r="E34" s="758"/>
    </row>
    <row r="35" spans="1:5" ht="11.25" customHeight="1" x14ac:dyDescent="0.2">
      <c r="A35" s="169">
        <v>7</v>
      </c>
      <c r="B35" s="386" t="s">
        <v>82</v>
      </c>
      <c r="C35" s="388"/>
      <c r="D35" s="387"/>
      <c r="E35" s="387"/>
    </row>
    <row r="36" spans="1:5" ht="11.25" customHeight="1" x14ac:dyDescent="0.2">
      <c r="A36" s="169"/>
      <c r="B36" s="758"/>
      <c r="C36" s="748"/>
      <c r="D36" s="758"/>
      <c r="E36" s="758"/>
    </row>
    <row r="37" spans="1:5" ht="11.25" customHeight="1" x14ac:dyDescent="0.2">
      <c r="A37" s="169"/>
      <c r="B37" s="758"/>
      <c r="C37" s="748"/>
      <c r="D37" s="758"/>
      <c r="E37" s="758"/>
    </row>
    <row r="38" spans="1:5" ht="11.25" customHeight="1" x14ac:dyDescent="0.2">
      <c r="A38" s="169"/>
      <c r="B38" s="758"/>
      <c r="C38" s="748"/>
      <c r="D38" s="758"/>
      <c r="E38" s="758"/>
    </row>
    <row r="39" spans="1:5" ht="11.25" customHeight="1" x14ac:dyDescent="0.2">
      <c r="A39" s="169"/>
      <c r="B39" s="758"/>
      <c r="C39" s="748"/>
      <c r="D39" s="758"/>
      <c r="E39" s="758"/>
    </row>
    <row r="40" spans="1:5" ht="11.25" customHeight="1" x14ac:dyDescent="0.2">
      <c r="A40" s="119"/>
      <c r="B40" s="759"/>
      <c r="C40" s="760"/>
      <c r="D40" s="759"/>
      <c r="E40" s="759"/>
    </row>
    <row r="41" spans="1:5" ht="11.25" customHeight="1" x14ac:dyDescent="0.2">
      <c r="A41" s="78" t="str">
        <f>head27a</f>
        <v>References</v>
      </c>
      <c r="B41" s="67"/>
      <c r="C41" s="67"/>
      <c r="D41" s="67"/>
      <c r="E41" s="67"/>
    </row>
    <row r="42" spans="1:5" ht="11.25" customHeight="1" x14ac:dyDescent="0.2">
      <c r="A42" s="33" t="s">
        <v>854</v>
      </c>
    </row>
    <row r="43" spans="1:5" ht="11.25" customHeight="1" x14ac:dyDescent="0.2">
      <c r="A43" s="33" t="s">
        <v>855</v>
      </c>
    </row>
    <row r="44" spans="1:5" ht="11.25" customHeight="1" x14ac:dyDescent="0.2">
      <c r="A44" s="33" t="s">
        <v>856</v>
      </c>
    </row>
    <row r="45" spans="1:5" ht="11.25" customHeight="1" x14ac:dyDescent="0.2">
      <c r="A45" s="33" t="s">
        <v>857</v>
      </c>
    </row>
    <row r="46" spans="1:5" ht="11.25" customHeight="1" x14ac:dyDescent="0.2">
      <c r="A46" s="33" t="s">
        <v>858</v>
      </c>
    </row>
    <row r="47" spans="1:5" ht="11.25" customHeight="1" x14ac:dyDescent="0.2">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35" activePane="bottomRight" state="frozen"/>
      <selection pane="topRight"/>
      <selection pane="bottomLeft"/>
      <selection pane="bottomRight" sqref="A1:H1"/>
    </sheetView>
  </sheetViews>
  <sheetFormatPr defaultColWidth="9.109375" defaultRowHeight="11.25" customHeight="1" x14ac:dyDescent="0.2"/>
  <cols>
    <col min="1" max="2" width="30.6640625" style="25" customWidth="1"/>
    <col min="3" max="3" width="3.109375" style="25" customWidth="1"/>
    <col min="4" max="8" width="8.6640625" style="25" customWidth="1"/>
    <col min="9" max="16384" width="9.109375" style="25"/>
  </cols>
  <sheetData>
    <row r="1" spans="1:11" ht="13.5" customHeight="1" x14ac:dyDescent="0.3">
      <c r="A1" s="1053" t="str">
        <f>muni&amp; " - "&amp;S71H&amp; " - "&amp;Head57</f>
        <v>KZN225 Msunduzi - Supporting Table SC2 Monthly Budget Statement - performance indicators   - Q1 First Quarter</v>
      </c>
      <c r="B1" s="1053"/>
      <c r="C1" s="1053"/>
      <c r="D1" s="1053"/>
      <c r="E1" s="1053"/>
      <c r="F1" s="1053"/>
      <c r="G1" s="1053"/>
      <c r="H1" s="1053"/>
    </row>
    <row r="2" spans="1:11" ht="10.199999999999999" x14ac:dyDescent="0.2">
      <c r="A2" s="1058" t="s">
        <v>554</v>
      </c>
      <c r="B2" s="1042" t="s">
        <v>772</v>
      </c>
      <c r="C2" s="1035" t="str">
        <f>head27</f>
        <v>Ref</v>
      </c>
      <c r="D2" s="138" t="str">
        <f>Head1</f>
        <v>2019/20</v>
      </c>
      <c r="E2" s="245" t="str">
        <f>Head2</f>
        <v>Budget Year 2020/21</v>
      </c>
      <c r="F2" s="229"/>
      <c r="G2" s="229"/>
      <c r="H2" s="230"/>
    </row>
    <row r="3" spans="1:11" ht="20.399999999999999" x14ac:dyDescent="0.2">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
      <c r="A4" s="34"/>
      <c r="B4" s="34"/>
      <c r="C4" s="119"/>
      <c r="D4" s="187"/>
      <c r="E4" s="246"/>
      <c r="F4" s="241"/>
      <c r="G4" s="82"/>
      <c r="H4" s="223"/>
    </row>
    <row r="5" spans="1:11" ht="12.75" customHeight="1" x14ac:dyDescent="0.2">
      <c r="A5" s="122" t="s">
        <v>516</v>
      </c>
      <c r="B5" s="131"/>
      <c r="C5" s="130"/>
      <c r="D5" s="389"/>
      <c r="E5" s="278"/>
      <c r="F5" s="279"/>
      <c r="G5" s="279"/>
      <c r="H5" s="280"/>
    </row>
    <row r="6" spans="1:11" ht="3.75" customHeight="1" x14ac:dyDescent="0.2">
      <c r="A6" s="126"/>
      <c r="B6" s="123"/>
      <c r="C6" s="174"/>
      <c r="D6" s="120"/>
      <c r="E6" s="282"/>
      <c r="F6" s="124"/>
      <c r="G6" s="124"/>
      <c r="H6" s="276"/>
      <c r="K6" s="98"/>
    </row>
    <row r="7" spans="1:11" ht="19.5" customHeight="1" x14ac:dyDescent="0.2">
      <c r="A7" s="126" t="s">
        <v>820</v>
      </c>
      <c r="B7" s="123" t="s">
        <v>83</v>
      </c>
      <c r="C7" s="174"/>
      <c r="D7" s="120">
        <f>IF(ISERROR((D42-D43)/D45),0,((D42-D43)/D45))</f>
        <v>0</v>
      </c>
      <c r="E7" s="282">
        <f>IF(ISERROR((E42+E44)/E45),0,((E42+E44)/E45))</f>
        <v>9.4577502287489235E-2</v>
      </c>
      <c r="F7" s="124">
        <f>IF(ISERROR((F42+F44)/F45),0,((F42+F44)/F45))</f>
        <v>0</v>
      </c>
      <c r="G7" s="124">
        <f>IF(ISERROR((G42+G44)/G45),0,((G42+G44)/G45))</f>
        <v>7.1380669310543666E-3</v>
      </c>
      <c r="H7" s="276">
        <f>IF(ISERROR((H42+H44)/H45),0,((H42+H44)/H45))</f>
        <v>1.5488799475244324E-2</v>
      </c>
    </row>
    <row r="8" spans="1:11" ht="30" customHeight="1" x14ac:dyDescent="0.2">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
      <c r="A9" s="127" t="s">
        <v>736</v>
      </c>
      <c r="B9" s="123"/>
      <c r="C9" s="174"/>
      <c r="D9" s="120"/>
      <c r="E9" s="282"/>
      <c r="F9" s="124"/>
      <c r="G9" s="124"/>
      <c r="H9" s="276"/>
    </row>
    <row r="10" spans="1:11" ht="20.399999999999999" x14ac:dyDescent="0.2">
      <c r="A10" s="126" t="s">
        <v>7</v>
      </c>
      <c r="B10" s="123" t="s">
        <v>960</v>
      </c>
      <c r="C10" s="174"/>
      <c r="D10" s="120">
        <f>IF(ISERROR(D48/D49),0,(D48/D49))</f>
        <v>0</v>
      </c>
      <c r="E10" s="282">
        <f>IF(ISERROR(E48/E49),0,(E48/E49))</f>
        <v>0.16733458655357425</v>
      </c>
      <c r="F10" s="124">
        <f>IF(ISERROR(F48/F49),0,(F48/F49))</f>
        <v>0</v>
      </c>
      <c r="G10" s="124">
        <f>IF(ISERROR(G48/G49),0,(G48/G49))</f>
        <v>0.22599843518541085</v>
      </c>
      <c r="H10" s="276">
        <f>IF(ISERROR(H48/H49),0,(H48/H49))</f>
        <v>0.16733458655357425</v>
      </c>
    </row>
    <row r="11" spans="1:11" ht="12.75" customHeight="1" x14ac:dyDescent="0.2">
      <c r="A11" s="126" t="s">
        <v>735</v>
      </c>
      <c r="B11" s="123" t="s">
        <v>719</v>
      </c>
      <c r="C11" s="174"/>
      <c r="D11" s="120">
        <f>IF(ISERROR(D51/D50),0,(D51/D50))</f>
        <v>0</v>
      </c>
      <c r="E11" s="282">
        <f>IF(ISERROR(E51/E50),0,(E51/E50))</f>
        <v>1.2322813430054802</v>
      </c>
      <c r="F11" s="124">
        <f>IF(ISERROR(F51/F50),0,(F51/F50))</f>
        <v>0</v>
      </c>
      <c r="G11" s="124">
        <f>IF(ISERROR(G51/G50),0,(G51/G50))</f>
        <v>1.5024210700137943</v>
      </c>
      <c r="H11" s="276">
        <f>IF(ISERROR(H51/H50),0,(H51/H50))</f>
        <v>1.2322813430054802</v>
      </c>
    </row>
    <row r="12" spans="1:11" ht="12.75" customHeight="1" x14ac:dyDescent="0.2">
      <c r="A12" s="127" t="s">
        <v>737</v>
      </c>
      <c r="B12" s="123"/>
      <c r="C12" s="174"/>
      <c r="D12" s="120"/>
      <c r="E12" s="282"/>
      <c r="F12" s="124"/>
      <c r="G12" s="124"/>
      <c r="H12" s="276"/>
    </row>
    <row r="13" spans="1:11" ht="12.75" customHeight="1" x14ac:dyDescent="0.2">
      <c r="A13" s="126" t="s">
        <v>1057</v>
      </c>
      <c r="B13" s="123" t="s">
        <v>538</v>
      </c>
      <c r="C13" s="169">
        <v>1</v>
      </c>
      <c r="D13" s="120">
        <f>IF(ISERROR(D52/D53),0,(D52/D53))</f>
        <v>0</v>
      </c>
      <c r="E13" s="282">
        <f>IF(ISERROR(E52/E53),0,(E52/E53))</f>
        <v>2.0616681210508312</v>
      </c>
      <c r="F13" s="124">
        <f>IF(ISERROR(F52/F53),0,(F52/F53))</f>
        <v>0</v>
      </c>
      <c r="G13" s="124">
        <f>IF(ISERROR(G52/G53),0,(G52/G53))</f>
        <v>1.2892829846775711</v>
      </c>
      <c r="H13" s="276">
        <f>IF(ISERROR(H52/H53),0,(H52/H53))</f>
        <v>2.0616681210508312</v>
      </c>
    </row>
    <row r="14" spans="1:11" ht="12.75" customHeight="1" x14ac:dyDescent="0.2">
      <c r="A14" s="126" t="s">
        <v>738</v>
      </c>
      <c r="B14" s="123" t="s">
        <v>436</v>
      </c>
      <c r="C14" s="174"/>
      <c r="D14" s="120">
        <f>IF(ISERROR(D54/D53),0,(D54/D53))</f>
        <v>0</v>
      </c>
      <c r="E14" s="282">
        <f>IF(ISERROR(E54/E53),0,(E54/E53))</f>
        <v>0.26526391167695329</v>
      </c>
      <c r="F14" s="124">
        <f>IF(ISERROR(F54/F53),0,(F54/F53))</f>
        <v>0</v>
      </c>
      <c r="G14" s="124">
        <f>IF(ISERROR(G54/G53),0,(G54/G53))</f>
        <v>0.1114334602284921</v>
      </c>
      <c r="H14" s="276">
        <f>IF(ISERROR(H54/H53),0,(H54/H53))</f>
        <v>0.26526391167695329</v>
      </c>
    </row>
    <row r="15" spans="1:11" ht="12.75" customHeight="1" x14ac:dyDescent="0.2">
      <c r="A15" s="127" t="s">
        <v>437</v>
      </c>
      <c r="B15" s="123"/>
      <c r="C15" s="174"/>
      <c r="D15" s="120"/>
      <c r="E15" s="282"/>
      <c r="F15" s="124"/>
      <c r="G15" s="124"/>
      <c r="H15" s="276"/>
    </row>
    <row r="16" spans="1:11" ht="20.399999999999999" x14ac:dyDescent="0.2">
      <c r="A16" s="126" t="s">
        <v>500</v>
      </c>
      <c r="B16" s="123" t="s">
        <v>469</v>
      </c>
      <c r="C16" s="174"/>
      <c r="D16" s="120"/>
      <c r="E16" s="282"/>
      <c r="F16" s="124"/>
      <c r="G16" s="124"/>
      <c r="H16" s="276"/>
    </row>
    <row r="17" spans="1:8" ht="12.75" customHeight="1" x14ac:dyDescent="0.2">
      <c r="A17" s="126" t="s">
        <v>470</v>
      </c>
      <c r="B17" s="123" t="s">
        <v>640</v>
      </c>
      <c r="C17" s="174"/>
      <c r="D17" s="120">
        <f>IF(ISERROR(D59/D55),0,(D59/D55))</f>
        <v>0</v>
      </c>
      <c r="E17" s="282">
        <f>IF(ISERROR(E59/E55),0,(E59/E55))</f>
        <v>0.43153265012765485</v>
      </c>
      <c r="F17" s="124">
        <f>IF(ISERROR(F59/F55),0,(F59/F55))</f>
        <v>0</v>
      </c>
      <c r="G17" s="124">
        <f>IF(ISERROR(G59/G55),0,(G59/G55))</f>
        <v>1.0044186678984968</v>
      </c>
      <c r="H17" s="276">
        <f>IF(ISERROR(H59/H55),0,(H59/H55))</f>
        <v>0.43153265012765485</v>
      </c>
    </row>
    <row r="18" spans="1:8" ht="20.399999999999999" x14ac:dyDescent="0.2">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
      <c r="A19" s="127" t="s">
        <v>8</v>
      </c>
      <c r="B19" s="123"/>
      <c r="C19" s="174"/>
      <c r="D19" s="120"/>
      <c r="E19" s="282"/>
      <c r="F19" s="124"/>
      <c r="G19" s="124"/>
      <c r="H19" s="276"/>
    </row>
    <row r="20" spans="1:8" ht="10.199999999999999" x14ac:dyDescent="0.2">
      <c r="A20" s="126" t="s">
        <v>9</v>
      </c>
      <c r="B20" s="123" t="s">
        <v>792</v>
      </c>
      <c r="C20" s="174"/>
      <c r="D20" s="761"/>
      <c r="E20" s="762"/>
      <c r="F20" s="763"/>
      <c r="G20" s="763"/>
      <c r="H20" s="764"/>
    </row>
    <row r="21" spans="1:8" ht="12.75" customHeight="1" x14ac:dyDescent="0.2">
      <c r="A21" s="127" t="s">
        <v>512</v>
      </c>
      <c r="B21" s="123"/>
      <c r="C21" s="174"/>
      <c r="D21" s="120"/>
      <c r="E21" s="282"/>
      <c r="F21" s="124"/>
      <c r="G21" s="124"/>
      <c r="H21" s="276"/>
    </row>
    <row r="22" spans="1:8" ht="12.75" customHeight="1" x14ac:dyDescent="0.2">
      <c r="A22" s="126" t="s">
        <v>513</v>
      </c>
      <c r="B22" s="123" t="s">
        <v>514</v>
      </c>
      <c r="C22" s="174"/>
      <c r="D22" s="120"/>
      <c r="E22" s="282"/>
      <c r="F22" s="124"/>
      <c r="G22" s="124"/>
      <c r="H22" s="276"/>
    </row>
    <row r="23" spans="1:8" ht="12.75" customHeight="1" x14ac:dyDescent="0.2">
      <c r="A23" s="127" t="s">
        <v>515</v>
      </c>
      <c r="B23" s="123"/>
      <c r="C23" s="174"/>
      <c r="D23" s="120"/>
      <c r="E23" s="282"/>
      <c r="F23" s="124"/>
      <c r="G23" s="124"/>
      <c r="H23" s="276"/>
    </row>
    <row r="24" spans="1:8" ht="27.75" customHeight="1" x14ac:dyDescent="0.2">
      <c r="A24" s="126" t="s">
        <v>503</v>
      </c>
      <c r="B24" s="546" t="s">
        <v>67</v>
      </c>
      <c r="C24" s="251">
        <v>2</v>
      </c>
      <c r="D24" s="761"/>
      <c r="E24" s="762"/>
      <c r="F24" s="763"/>
      <c r="G24" s="763"/>
      <c r="H24" s="764"/>
    </row>
    <row r="25" spans="1:8" ht="27.75" customHeight="1" x14ac:dyDescent="0.2">
      <c r="A25" s="126" t="s">
        <v>502</v>
      </c>
      <c r="B25" s="546" t="s">
        <v>68</v>
      </c>
      <c r="C25" s="251">
        <v>2</v>
      </c>
      <c r="D25" s="761"/>
      <c r="E25" s="762"/>
      <c r="F25" s="763"/>
      <c r="G25" s="763"/>
      <c r="H25" s="764"/>
    </row>
    <row r="26" spans="1:8" ht="27.75" customHeight="1" x14ac:dyDescent="0.2">
      <c r="A26" s="126" t="s">
        <v>475</v>
      </c>
      <c r="B26" s="123" t="s">
        <v>757</v>
      </c>
      <c r="C26" s="174"/>
      <c r="D26" s="120">
        <f>IF(ISERROR(D40/D55),0,(D40/D55))</f>
        <v>0</v>
      </c>
      <c r="E26" s="282">
        <f>IF(ISERROR(E40/E55),0,(E40/E55))</f>
        <v>0.2498093445303802</v>
      </c>
      <c r="F26" s="124">
        <f>IF(ISERROR(F40/F55),0,(F40/F55))</f>
        <v>0</v>
      </c>
      <c r="G26" s="124">
        <f>IF(ISERROR(G40/G55),0,(G40/G55))</f>
        <v>0.21263528534661941</v>
      </c>
      <c r="H26" s="276">
        <f>IF(ISERROR(H40/H55),0,(H40/H55))</f>
        <v>0.2498093445303802</v>
      </c>
    </row>
    <row r="27" spans="1:8" ht="27.75" customHeight="1" x14ac:dyDescent="0.2">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
      <c r="A28" s="126" t="s">
        <v>756</v>
      </c>
      <c r="B28" s="123" t="s">
        <v>739</v>
      </c>
      <c r="C28" s="174"/>
      <c r="D28" s="120">
        <f>IF(ISERROR((D42+D44)/D55),0,((D42+D44)/D55))</f>
        <v>0</v>
      </c>
      <c r="E28" s="282">
        <f>IF(ISERROR((E42+E44)/E55),0,((E42+E44)/E55))</f>
        <v>8.8163465498190249E-2</v>
      </c>
      <c r="F28" s="124">
        <f>IF(ISERROR((F42+F44)/F55),0,((F42+F44)/F55))</f>
        <v>0</v>
      </c>
      <c r="G28" s="124">
        <f>IF(ISERROR((G42+G44)/G55),0,((G42+G44)/G55))</f>
        <v>6.8127103565684402E-3</v>
      </c>
      <c r="H28" s="276">
        <f>IF(ISERROR((H42+H44)/H55),0,((H42+H44)/H55))</f>
        <v>1.4438383390515119E-2</v>
      </c>
    </row>
    <row r="29" spans="1:8" ht="12.75" customHeight="1" x14ac:dyDescent="0.2">
      <c r="A29" s="281" t="s">
        <v>651</v>
      </c>
      <c r="B29" s="128"/>
      <c r="C29" s="283"/>
      <c r="D29" s="120"/>
      <c r="E29" s="282"/>
      <c r="F29" s="124"/>
      <c r="G29" s="124"/>
      <c r="H29" s="276"/>
    </row>
    <row r="30" spans="1:8" ht="27.75" customHeight="1" x14ac:dyDescent="0.2">
      <c r="A30" s="126" t="s">
        <v>652</v>
      </c>
      <c r="B30" s="123" t="s">
        <v>788</v>
      </c>
      <c r="C30" s="174"/>
      <c r="D30" s="761"/>
      <c r="E30" s="762"/>
      <c r="F30" s="763"/>
      <c r="G30" s="763"/>
      <c r="H30" s="764"/>
    </row>
    <row r="31" spans="1:8" ht="20.399999999999999" x14ac:dyDescent="0.2">
      <c r="A31" s="126" t="s">
        <v>793</v>
      </c>
      <c r="B31" s="123" t="s">
        <v>491</v>
      </c>
      <c r="C31" s="174"/>
      <c r="D31" s="761"/>
      <c r="E31" s="762"/>
      <c r="F31" s="763"/>
      <c r="G31" s="763"/>
      <c r="H31" s="764"/>
    </row>
    <row r="32" spans="1:8" ht="20.399999999999999" x14ac:dyDescent="0.2">
      <c r="A32" s="277" t="s">
        <v>653</v>
      </c>
      <c r="B32" s="132" t="s">
        <v>445</v>
      </c>
      <c r="C32" s="178"/>
      <c r="D32" s="765"/>
      <c r="E32" s="766"/>
      <c r="F32" s="767"/>
      <c r="G32" s="767"/>
      <c r="H32" s="768"/>
    </row>
    <row r="33" spans="1:9" ht="12.75" customHeight="1" x14ac:dyDescent="0.2">
      <c r="A33" s="57" t="s">
        <v>646</v>
      </c>
      <c r="B33" s="67"/>
      <c r="C33" s="67"/>
      <c r="D33" s="125"/>
      <c r="E33" s="125"/>
      <c r="F33" s="125"/>
      <c r="G33" s="125"/>
      <c r="H33" s="125"/>
      <c r="I33" s="67"/>
    </row>
    <row r="34" spans="1:9" ht="12.75" customHeight="1" x14ac:dyDescent="0.2">
      <c r="A34" s="60" t="s">
        <v>504</v>
      </c>
      <c r="B34" s="67"/>
      <c r="C34" s="67"/>
      <c r="D34" s="67"/>
      <c r="E34" s="67"/>
      <c r="F34" s="67"/>
      <c r="G34" s="67"/>
      <c r="H34" s="67"/>
    </row>
    <row r="35" spans="1:9" ht="12.75" customHeight="1" x14ac:dyDescent="0.2">
      <c r="A35" s="121" t="s">
        <v>895</v>
      </c>
    </row>
    <row r="36" spans="1:9" ht="12.75" customHeight="1" x14ac:dyDescent="0.2"/>
    <row r="37" spans="1:9" ht="12.75" customHeight="1" x14ac:dyDescent="0.2">
      <c r="A37" s="338" t="s">
        <v>526</v>
      </c>
      <c r="B37" s="336"/>
      <c r="C37" s="336"/>
      <c r="D37" s="336"/>
      <c r="E37" s="336"/>
      <c r="F37" s="336"/>
      <c r="G37" s="336"/>
      <c r="H37" s="339"/>
    </row>
    <row r="38" spans="1:9" ht="12.75" customHeight="1" x14ac:dyDescent="0.2">
      <c r="A38" s="42" t="str">
        <f>'C6-FinPos'!A38</f>
        <v>Borrowing</v>
      </c>
      <c r="B38" s="67"/>
      <c r="C38" s="67"/>
      <c r="D38" s="84">
        <f>'C6-FinPos'!C38</f>
        <v>0</v>
      </c>
      <c r="E38" s="84">
        <f>'C6-FinPos'!D38</f>
        <v>282085537</v>
      </c>
      <c r="F38" s="84">
        <f>'C6-FinPos'!E38</f>
        <v>0</v>
      </c>
      <c r="G38" s="97">
        <f>'C6-FinPos'!F38</f>
        <v>285317995.64999998</v>
      </c>
      <c r="H38" s="48">
        <v>0</v>
      </c>
    </row>
    <row r="39" spans="1:9" ht="12.75" customHeight="1" x14ac:dyDescent="0.2">
      <c r="A39" s="42" t="s">
        <v>528</v>
      </c>
      <c r="B39" s="67"/>
      <c r="C39" s="67"/>
      <c r="D39" s="84">
        <f>'C6-FinPos'!C26</f>
        <v>0</v>
      </c>
      <c r="E39" s="84">
        <f>'C6-FinPos'!D26</f>
        <v>11312770417.220949</v>
      </c>
      <c r="F39" s="84">
        <f>'C6-FinPos'!E26</f>
        <v>0</v>
      </c>
      <c r="G39" s="97">
        <f>'C6-FinPos'!F26</f>
        <v>10056950280.600002</v>
      </c>
      <c r="H39" s="48">
        <f>'C6-FinPos'!G26</f>
        <v>11312770417.220949</v>
      </c>
    </row>
    <row r="40" spans="1:9" ht="12.75" customHeight="1" x14ac:dyDescent="0.2">
      <c r="A40" s="42" t="str">
        <f>'C4-FinPerf RE'!A25</f>
        <v>Employee related costs</v>
      </c>
      <c r="B40" s="67"/>
      <c r="C40" s="67"/>
      <c r="D40" s="84">
        <f>'C4-FinPerf RE'!C25</f>
        <v>0</v>
      </c>
      <c r="E40" s="84">
        <f>'C4-FinPerf RE'!D25</f>
        <v>1478324301.5741799</v>
      </c>
      <c r="F40" s="84">
        <f>'C4-FinPerf RE'!E25</f>
        <v>0</v>
      </c>
      <c r="G40" s="97">
        <f>'C4-FinPerf RE'!G25</f>
        <v>324895196.61000025</v>
      </c>
      <c r="H40" s="48">
        <f>'C4-FinPerf RE'!K25</f>
        <v>1478324301.5741799</v>
      </c>
    </row>
    <row r="41" spans="1:9" ht="12.75" customHeight="1" x14ac:dyDescent="0.2">
      <c r="A41" s="42" t="str">
        <f>A27</f>
        <v>Repairs &amp; Maintenance</v>
      </c>
      <c r="B41" s="67"/>
      <c r="C41" s="67"/>
      <c r="D41" s="769"/>
      <c r="E41" s="769"/>
      <c r="F41" s="769"/>
      <c r="G41" s="769"/>
      <c r="H41" s="770"/>
    </row>
    <row r="42" spans="1:9" ht="12.75" customHeight="1" x14ac:dyDescent="0.2">
      <c r="A42" s="42" t="s">
        <v>529</v>
      </c>
      <c r="B42" s="67"/>
      <c r="C42" s="67"/>
      <c r="D42" s="84">
        <f>'C4-FinPerf RE'!C29</f>
        <v>0</v>
      </c>
      <c r="E42" s="84">
        <f>'C4-FinPerf RE'!D29</f>
        <v>31793212.220000003</v>
      </c>
      <c r="F42" s="84">
        <f>'C4-FinPerf RE'!E29</f>
        <v>0</v>
      </c>
      <c r="G42" s="97">
        <f>'C4-FinPerf RE'!G29</f>
        <v>10409452.350000001</v>
      </c>
      <c r="H42" s="48">
        <f>'C4-FinPerf RE'!K29</f>
        <v>31793212.220000003</v>
      </c>
    </row>
    <row r="43" spans="1:9" ht="12.75" customHeight="1" x14ac:dyDescent="0.2">
      <c r="A43" s="42" t="s">
        <v>84</v>
      </c>
      <c r="B43" s="67"/>
      <c r="C43" s="67"/>
      <c r="D43" s="84">
        <f>-'C7-CFlow'!C36</f>
        <v>0</v>
      </c>
      <c r="E43" s="84">
        <f>-'C7-CFlow'!D36</f>
        <v>79206000</v>
      </c>
      <c r="F43" s="84">
        <f>-'C7-CFlow'!E36</f>
        <v>0</v>
      </c>
      <c r="G43" s="97">
        <f>-'C7-CFlow'!G36</f>
        <v>20256190.370000001</v>
      </c>
      <c r="H43" s="48">
        <f>-'C7-CFlow'!K36</f>
        <v>79206000</v>
      </c>
    </row>
    <row r="44" spans="1:9" ht="12.75" customHeight="1" x14ac:dyDescent="0.2">
      <c r="A44" s="42" t="s">
        <v>530</v>
      </c>
      <c r="B44" s="67"/>
      <c r="C44" s="67"/>
      <c r="D44" s="84">
        <f>'C4-FinPerf RE'!C28</f>
        <v>0</v>
      </c>
      <c r="E44" s="84">
        <f>'C4-FinPerf RE'!D28</f>
        <v>489941448.27473986</v>
      </c>
      <c r="F44" s="84">
        <f>'C4-FinPerf RE'!E28</f>
        <v>0</v>
      </c>
      <c r="G44" s="97"/>
      <c r="H44" s="48">
        <f>'C4-FinPerf RE'!K26</f>
        <v>53650401.115479976</v>
      </c>
    </row>
    <row r="45" spans="1:9" ht="12.75" customHeight="1" x14ac:dyDescent="0.2">
      <c r="A45" s="42" t="s">
        <v>0</v>
      </c>
      <c r="B45" s="67"/>
      <c r="C45" s="67"/>
      <c r="D45" s="84">
        <f>'C4-FinPerf RE'!C36</f>
        <v>0</v>
      </c>
      <c r="E45" s="84">
        <f>'C4-FinPerf RE'!D36</f>
        <v>5516477469.5446281</v>
      </c>
      <c r="F45" s="84">
        <f>'C4-FinPerf RE'!E36</f>
        <v>0</v>
      </c>
      <c r="G45" s="97">
        <f>'C4-FinPerf RE'!G36</f>
        <v>1458301309.0999999</v>
      </c>
      <c r="H45" s="48">
        <f>'C4-FinPerf RE'!K36</f>
        <v>5516477469.5446281</v>
      </c>
    </row>
    <row r="46" spans="1:9" ht="12.75" customHeight="1" x14ac:dyDescent="0.2">
      <c r="A46" s="42" t="str">
        <f>'C5-Capex'!A40</f>
        <v>Total Capital Expenditure</v>
      </c>
      <c r="B46" s="67"/>
      <c r="C46" s="67"/>
      <c r="D46" s="84">
        <f>'C5-Capex'!C40</f>
        <v>0</v>
      </c>
      <c r="E46" s="84">
        <f>'C5-Capex'!D40</f>
        <v>580891581</v>
      </c>
      <c r="F46" s="84">
        <f>'C5-Capex'!E40</f>
        <v>0</v>
      </c>
      <c r="G46" s="97">
        <f>'C5-Capex'!G40</f>
        <v>80820991.460000008</v>
      </c>
      <c r="H46" s="48">
        <f>'C5-Capex'!K40</f>
        <v>580891581</v>
      </c>
    </row>
    <row r="47" spans="1:9" ht="12.75" customHeight="1" x14ac:dyDescent="0.2">
      <c r="A47" s="42" t="s">
        <v>533</v>
      </c>
      <c r="B47" s="67"/>
      <c r="C47" s="67"/>
      <c r="D47" s="84">
        <f>'C5-Capex'!C72</f>
        <v>0</v>
      </c>
      <c r="E47" s="84">
        <f>'C5-Capex'!D72</f>
        <v>0</v>
      </c>
      <c r="F47" s="84">
        <f>'C5-Capex'!E72</f>
        <v>0</v>
      </c>
      <c r="G47" s="97">
        <f>'C5-Capex'!G72</f>
        <v>0</v>
      </c>
      <c r="H47" s="48">
        <f>'C5-Capex'!K72</f>
        <v>0</v>
      </c>
    </row>
    <row r="48" spans="1:9" ht="12.75" customHeight="1" x14ac:dyDescent="0.2">
      <c r="A48" s="42" t="s">
        <v>531</v>
      </c>
      <c r="B48" s="67"/>
      <c r="C48" s="67"/>
      <c r="D48" s="84">
        <f>'C6-FinPos'!C30+'C6-FinPos'!C31+'C6-FinPos'!C33+'C6-FinPos'!C38</f>
        <v>0</v>
      </c>
      <c r="E48" s="84">
        <f>'C6-FinPos'!D30+'C6-FinPos'!D31+'C6-FinPos'!D33+'C6-FinPos'!D38</f>
        <v>1469061645.9769487</v>
      </c>
      <c r="F48" s="84">
        <f>'C6-FinPos'!E30+'C6-FinPos'!E31+'C6-FinPos'!E33+'C6-FinPos'!E38</f>
        <v>0</v>
      </c>
      <c r="G48" s="84">
        <f>'C6-FinPos'!F30+'C6-FinPos'!F31+'C6-FinPos'!F33+'C6-FinPos'!F38</f>
        <v>1726425924.75</v>
      </c>
      <c r="H48" s="48">
        <f>'C6-FinPos'!G30+'C6-FinPos'!G31+'C6-FinPos'!G33+'C6-FinPos'!G38</f>
        <v>1469061645.9769487</v>
      </c>
    </row>
    <row r="49" spans="1:8" ht="12.75" customHeight="1" x14ac:dyDescent="0.2">
      <c r="A49" s="42" t="s">
        <v>532</v>
      </c>
      <c r="B49" s="67"/>
      <c r="C49" s="67"/>
      <c r="D49" s="84">
        <f>'C6-FinPos'!C48</f>
        <v>0</v>
      </c>
      <c r="E49" s="84">
        <f>'C6-FinPos'!D48</f>
        <v>8779187113.8762474</v>
      </c>
      <c r="F49" s="84">
        <f>'C6-FinPos'!E48</f>
        <v>0</v>
      </c>
      <c r="G49" s="97">
        <f>'C6-FinPos'!F48</f>
        <v>7639105657.2300024</v>
      </c>
      <c r="H49" s="48">
        <f>'C6-FinPos'!G48</f>
        <v>8779187113.8762474</v>
      </c>
    </row>
    <row r="50" spans="1:8" ht="12.75" customHeight="1" x14ac:dyDescent="0.2">
      <c r="A50" s="42" t="str">
        <f>'C6-FinPos'!A47</f>
        <v>Reserves</v>
      </c>
      <c r="B50" s="67"/>
      <c r="C50" s="67"/>
      <c r="D50" s="84">
        <f>'C6-FinPos'!C47</f>
        <v>0</v>
      </c>
      <c r="E50" s="84">
        <f>'C6-FinPos'!D47</f>
        <v>228913258</v>
      </c>
      <c r="F50" s="84">
        <f>'C6-FinPos'!E47</f>
        <v>0</v>
      </c>
      <c r="G50" s="97">
        <f>'C6-FinPos'!F47</f>
        <v>189905480.79000273</v>
      </c>
      <c r="H50" s="48">
        <f>'C6-FinPos'!G47</f>
        <v>228913258</v>
      </c>
    </row>
    <row r="51" spans="1:8" ht="12.75" customHeight="1" x14ac:dyDescent="0.2">
      <c r="A51" s="42" t="str">
        <f>'C6-FinPos'!A38</f>
        <v>Borrowing</v>
      </c>
      <c r="B51" s="67"/>
      <c r="C51" s="67"/>
      <c r="D51" s="84">
        <f>'C6-FinPos'!C38</f>
        <v>0</v>
      </c>
      <c r="E51" s="84">
        <f>'C6-FinPos'!D38</f>
        <v>282085537</v>
      </c>
      <c r="F51" s="84">
        <f>'C6-FinPos'!E38</f>
        <v>0</v>
      </c>
      <c r="G51" s="97">
        <f>'C6-FinPos'!F38</f>
        <v>285317995.64999998</v>
      </c>
      <c r="H51" s="48">
        <f>'C6-FinPos'!G38</f>
        <v>282085537</v>
      </c>
    </row>
    <row r="52" spans="1:8" ht="12.75" customHeight="1" x14ac:dyDescent="0.2">
      <c r="A52" s="42" t="str">
        <f>'C6-FinPos'!A6</f>
        <v>Current assets</v>
      </c>
      <c r="B52" s="67"/>
      <c r="C52" s="67"/>
      <c r="D52" s="84">
        <f>'C6-FinPos'!C13</f>
        <v>0</v>
      </c>
      <c r="E52" s="84">
        <f>'C6-FinPos'!D13</f>
        <v>2972344764.6444831</v>
      </c>
      <c r="F52" s="84">
        <f>'C6-FinPos'!E13</f>
        <v>0</v>
      </c>
      <c r="G52" s="97">
        <f>'C6-FinPos'!F13</f>
        <v>2059957430.2100003</v>
      </c>
      <c r="H52" s="48">
        <f>'C6-FinPos'!G13</f>
        <v>2972344764.6444831</v>
      </c>
    </row>
    <row r="53" spans="1:8" ht="12.75" customHeight="1" x14ac:dyDescent="0.2">
      <c r="A53" s="42" t="str">
        <f>'C6-FinPos'!A29</f>
        <v>Current liabilities</v>
      </c>
      <c r="B53" s="67"/>
      <c r="C53" s="67"/>
      <c r="D53" s="84">
        <f>'C6-FinPos'!C35</f>
        <v>0</v>
      </c>
      <c r="E53" s="84">
        <f>'C6-FinPos'!D35</f>
        <v>1441718351.4141357</v>
      </c>
      <c r="F53" s="84">
        <f>'C6-FinPos'!E35</f>
        <v>0</v>
      </c>
      <c r="G53" s="97">
        <f>'C6-FinPos'!F35</f>
        <v>1597754298.0800002</v>
      </c>
      <c r="H53" s="48">
        <f>'C6-FinPos'!G35</f>
        <v>1441718351.4141357</v>
      </c>
    </row>
    <row r="54" spans="1:8" ht="12.75" customHeight="1" x14ac:dyDescent="0.2">
      <c r="A54" s="42" t="s">
        <v>534</v>
      </c>
      <c r="B54" s="67"/>
      <c r="C54" s="67"/>
      <c r="D54" s="84">
        <f>'C6-FinPos'!C7+'C6-FinPos'!C8</f>
        <v>0</v>
      </c>
      <c r="E54" s="84">
        <f>'C6-FinPos'!D7+'C6-FinPos'!D8</f>
        <v>382435849.43256199</v>
      </c>
      <c r="F54" s="84">
        <f>'C6-FinPos'!E7+'C6-FinPos'!E8</f>
        <v>0</v>
      </c>
      <c r="G54" s="97">
        <f>'C6-FinPos'!F7+'C6-FinPos'!F8</f>
        <v>178043290.03</v>
      </c>
      <c r="H54" s="48">
        <f>'C6-FinPos'!G7+'C6-FinPos'!G8</f>
        <v>382435849.43256199</v>
      </c>
    </row>
    <row r="55" spans="1:8" ht="12.75" customHeight="1" x14ac:dyDescent="0.2">
      <c r="A55" s="42" t="str">
        <f>'C4-FinPerf RE'!A22</f>
        <v>Total Revenue (excluding capital transfers and contributions)</v>
      </c>
      <c r="B55" s="67"/>
      <c r="C55" s="67"/>
      <c r="D55" s="84">
        <f>'C4-FinPerf RE'!C22</f>
        <v>0</v>
      </c>
      <c r="E55" s="84">
        <f>'C4-FinPerf RE'!D22</f>
        <v>5917810257.8720617</v>
      </c>
      <c r="F55" s="84">
        <f>'C4-FinPerf RE'!E22</f>
        <v>0</v>
      </c>
      <c r="G55" s="97">
        <f>'C4-FinPerf RE'!G22</f>
        <v>1527945825.5500002</v>
      </c>
      <c r="H55" s="48">
        <f>'C4-FinPerf RE'!K22</f>
        <v>5917810257.8720617</v>
      </c>
    </row>
    <row r="56" spans="1:8" ht="12.75" customHeight="1" x14ac:dyDescent="0.2">
      <c r="A56" s="42" t="str">
        <f>'C4-FinPerf RE'!A19</f>
        <v>Transfers and subsidies</v>
      </c>
      <c r="B56" s="67"/>
      <c r="C56" s="67"/>
      <c r="D56" s="84">
        <f>'C4-FinPerf RE'!C19</f>
        <v>0</v>
      </c>
      <c r="E56" s="84">
        <f>'C4-FinPerf RE'!D19</f>
        <v>675483240</v>
      </c>
      <c r="F56" s="84">
        <f>'C4-FinPerf RE'!E19</f>
        <v>0</v>
      </c>
      <c r="G56" s="97">
        <f>'C4-FinPerf RE'!G19</f>
        <v>280889803.22000003</v>
      </c>
      <c r="H56" s="48">
        <f>'C4-FinPerf RE'!K19</f>
        <v>675483240</v>
      </c>
    </row>
    <row r="57" spans="1:8" ht="12.75" customHeight="1" x14ac:dyDescent="0.2">
      <c r="A57" s="42" t="str">
        <f>'C4-FinPerf RE'!A39</f>
        <v>Transfers and subsidies - capital (monetary allocations) (National / Provincial and District)</v>
      </c>
      <c r="B57" s="67"/>
      <c r="C57" s="67"/>
      <c r="D57" s="84">
        <f>'C4-FinPerf RE'!C39</f>
        <v>0</v>
      </c>
      <c r="E57" s="84">
        <f>'C4-FinPerf RE'!D39</f>
        <v>525891580.99999982</v>
      </c>
      <c r="F57" s="84">
        <f>'C4-FinPerf RE'!E39</f>
        <v>0</v>
      </c>
      <c r="G57" s="97">
        <f>'C4-FinPerf RE'!G39</f>
        <v>75697011.819999993</v>
      </c>
      <c r="H57" s="48">
        <f>'C4-FinPerf RE'!K39</f>
        <v>525891580.99999982</v>
      </c>
    </row>
    <row r="58" spans="1:8" ht="12.75" customHeight="1" x14ac:dyDescent="0.2">
      <c r="A58" s="42" t="s">
        <v>446</v>
      </c>
      <c r="B58" s="67"/>
      <c r="C58" s="67"/>
      <c r="D58" s="84">
        <f>'C7-CFlow'!C12+'C7-CFlow'!C36</f>
        <v>0</v>
      </c>
      <c r="E58" s="84">
        <f>'C7-CFlow'!D12+'C7-CFlow'!D36</f>
        <v>105854483.86592242</v>
      </c>
      <c r="F58" s="84">
        <f>'C7-CFlow'!E12+'C7-CFlow'!E36</f>
        <v>0</v>
      </c>
      <c r="G58" s="97">
        <f>'C7-CFlow'!G16+'C7-CFlow'!G36</f>
        <v>-32444716.800000001</v>
      </c>
      <c r="H58" s="48">
        <f>'C7-CFlow'!K16+'C7-CFlow'!K36</f>
        <v>-110999212.22</v>
      </c>
    </row>
    <row r="59" spans="1:8" ht="12.75" customHeight="1" x14ac:dyDescent="0.2">
      <c r="A59" s="42" t="s">
        <v>527</v>
      </c>
      <c r="B59" s="67"/>
      <c r="C59" s="67"/>
      <c r="D59" s="84">
        <f>'C6-FinPos'!C9+'C6-FinPos'!C10+'C6-FinPos'!C11+'C6-FinPos'!C16</f>
        <v>0</v>
      </c>
      <c r="E59" s="84">
        <f>'C6-FinPos'!D9+'C6-FinPos'!D10+'C6-FinPos'!D11+'C6-FinPos'!D16</f>
        <v>2553728343.5321512</v>
      </c>
      <c r="F59" s="84">
        <f>'C6-FinPos'!E9+'C6-FinPos'!E10+'C6-FinPos'!E11+'C6-FinPos'!E16</f>
        <v>0</v>
      </c>
      <c r="G59" s="97">
        <f>'C6-FinPos'!F9+'C6-FinPos'!F10+'C6-FinPos'!F11+'C6-FinPos'!F16</f>
        <v>1534697310.7200003</v>
      </c>
      <c r="H59" s="48">
        <f>'C6-FinPos'!G9+'C6-FinPos'!G10+'C6-FinPos'!G11+'C6-FinPos'!G16</f>
        <v>2553728343.5321512</v>
      </c>
    </row>
    <row r="60" spans="1:8" ht="12.75" customHeight="1" x14ac:dyDescent="0.2">
      <c r="A60" s="42" t="s">
        <v>447</v>
      </c>
      <c r="B60" s="67"/>
      <c r="C60" s="67"/>
      <c r="D60" s="84">
        <f>SUM('C4-FinPerf RE'!C7:C11)</f>
        <v>0</v>
      </c>
      <c r="E60" s="84">
        <f>SUM('C4-FinPerf RE'!D7:D11)</f>
        <v>3575763602.2929115</v>
      </c>
      <c r="F60" s="84">
        <f>SUM('C4-FinPerf RE'!E7:E11)</f>
        <v>0</v>
      </c>
      <c r="G60" s="97">
        <f>SUM('C4-FinPerf RE'!G7:G11)</f>
        <v>887607777.18000007</v>
      </c>
      <c r="H60" s="48"/>
    </row>
    <row r="61" spans="1:8" ht="12.75" customHeight="1" x14ac:dyDescent="0.2">
      <c r="A61" s="42" t="s">
        <v>448</v>
      </c>
      <c r="B61" s="67" t="s">
        <v>449</v>
      </c>
      <c r="C61" s="67"/>
      <c r="D61" s="84">
        <f>'C6-FinPos'!C7+'C6-FinPos'!C8+'C6-FinPos'!C17-'C6-FinPos'!C30</f>
        <v>0</v>
      </c>
      <c r="E61" s="84">
        <f>'C6-FinPos'!D7+'C6-FinPos'!D8+'C6-FinPos'!D17-'C6-FinPos'!D30</f>
        <v>385405520.86176199</v>
      </c>
      <c r="F61" s="84">
        <f>'C6-FinPos'!E7+'C6-FinPos'!E8+'C6-FinPos'!E17-'C6-FinPos'!E30</f>
        <v>0</v>
      </c>
      <c r="G61" s="97">
        <f>'C6-FinPos'!F7+'C6-FinPos'!F8+'C6-FinPos'!F17-'C6-FinPos'!F30</f>
        <v>178043290.03</v>
      </c>
      <c r="H61" s="48">
        <f>'C6-FinPos'!G7+'C6-FinPos'!G8+'C6-FinPos'!G17-'C6-FinPos'!G30</f>
        <v>385405520.86176199</v>
      </c>
    </row>
    <row r="62" spans="1:8" ht="12.75" customHeight="1" x14ac:dyDescent="0.2">
      <c r="A62" s="42" t="s">
        <v>725</v>
      </c>
      <c r="B62" s="67"/>
      <c r="C62" s="67"/>
      <c r="D62" s="769"/>
      <c r="E62" s="769"/>
      <c r="F62" s="769"/>
      <c r="G62" s="769"/>
      <c r="H62" s="770"/>
    </row>
    <row r="63" spans="1:8" ht="12.75" customHeight="1" x14ac:dyDescent="0.2">
      <c r="A63" s="42" t="s">
        <v>780</v>
      </c>
      <c r="B63" s="67"/>
      <c r="C63" s="67"/>
      <c r="D63" s="117">
        <f>'C6-FinPos'!C16</f>
        <v>0</v>
      </c>
      <c r="E63" s="117">
        <f>'C6-FinPos'!D16</f>
        <v>0</v>
      </c>
      <c r="F63" s="117">
        <f>'C6-FinPos'!E16</f>
        <v>0</v>
      </c>
      <c r="G63" s="325">
        <f>'C6-FinPos'!F16</f>
        <v>390259</v>
      </c>
      <c r="H63" s="340">
        <f>'C6-FinPos'!G16</f>
        <v>0</v>
      </c>
    </row>
    <row r="64" spans="1:8" ht="12.75" customHeight="1" x14ac:dyDescent="0.2">
      <c r="A64" s="42" t="s">
        <v>724</v>
      </c>
      <c r="B64" s="67"/>
      <c r="C64" s="67"/>
      <c r="D64" s="771"/>
      <c r="E64" s="771"/>
      <c r="F64" s="771"/>
      <c r="G64" s="771"/>
      <c r="H64" s="772"/>
    </row>
    <row r="65" spans="1:8" ht="12.75" customHeight="1" x14ac:dyDescent="0.2">
      <c r="A65" s="91" t="s">
        <v>781</v>
      </c>
      <c r="B65" s="337"/>
      <c r="C65" s="337"/>
      <c r="D65" s="773"/>
      <c r="E65" s="774"/>
      <c r="F65" s="774"/>
      <c r="G65" s="774"/>
      <c r="H65" s="775"/>
    </row>
    <row r="66" spans="1:8" ht="11.25" customHeight="1" x14ac:dyDescent="0.2">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sqref="A1:N21"/>
    </sheetView>
  </sheetViews>
  <sheetFormatPr defaultColWidth="9.109375" defaultRowHeight="21.75" customHeight="1" x14ac:dyDescent="0.2"/>
  <cols>
    <col min="1" max="1" width="48.44140625" style="67" customWidth="1"/>
    <col min="2" max="2" width="5.109375" style="67" bestFit="1" customWidth="1"/>
    <col min="3" max="12" width="8.6640625" style="67" customWidth="1"/>
    <col min="13" max="14" width="10.5546875" style="67" customWidth="1"/>
    <col min="15" max="15" width="8.6640625" style="67" customWidth="1"/>
    <col min="16" max="16384" width="9.109375" style="67"/>
  </cols>
  <sheetData>
    <row r="1" spans="1:16" ht="13.35" customHeight="1" x14ac:dyDescent="0.3">
      <c r="A1" s="1053" t="str">
        <f>muni&amp; " - "&amp;S71I&amp; " - "&amp;Head57</f>
        <v>KZN225 Msunduzi - Supporting Table SC3 Monthly Budget Statement - aged debtors - Q1 First Quarter</v>
      </c>
      <c r="B1" s="1053"/>
      <c r="C1" s="1060"/>
      <c r="D1" s="1060"/>
      <c r="E1" s="1060"/>
      <c r="F1" s="1060"/>
      <c r="G1" s="1060"/>
      <c r="H1" s="1060"/>
      <c r="I1" s="1060"/>
      <c r="J1" s="1060"/>
      <c r="K1" s="1060"/>
      <c r="L1" s="1060"/>
      <c r="M1" s="1060"/>
      <c r="N1" s="162"/>
      <c r="O1" s="406"/>
    </row>
    <row r="2" spans="1:16" ht="13.35" customHeight="1" x14ac:dyDescent="0.2">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0.199999999999999" x14ac:dyDescent="0.2">
      <c r="A4" s="87" t="s">
        <v>1076</v>
      </c>
      <c r="B4" s="169"/>
      <c r="C4" s="228"/>
      <c r="D4" s="165"/>
      <c r="E4" s="165"/>
      <c r="F4" s="165"/>
      <c r="G4" s="165"/>
      <c r="H4" s="165"/>
      <c r="I4" s="165"/>
      <c r="J4" s="286"/>
      <c r="K4" s="166"/>
      <c r="L4" s="166"/>
      <c r="M4" s="184"/>
      <c r="N4" s="184"/>
      <c r="O4" s="42"/>
    </row>
    <row r="5" spans="1:16" ht="12.75" customHeight="1" x14ac:dyDescent="0.2">
      <c r="A5" s="39" t="s">
        <v>1077</v>
      </c>
      <c r="B5" s="169">
        <v>1200</v>
      </c>
      <c r="C5" s="745">
        <v>130885366.28</v>
      </c>
      <c r="D5" s="733">
        <v>45102017.899999999</v>
      </c>
      <c r="E5" s="733">
        <v>27919703.829999998</v>
      </c>
      <c r="F5" s="733">
        <v>28714090.02</v>
      </c>
      <c r="G5" s="733">
        <v>23234349.010000002</v>
      </c>
      <c r="H5" s="733">
        <v>28406549.23</v>
      </c>
      <c r="I5" s="733">
        <v>188042743.61000001</v>
      </c>
      <c r="J5" s="744">
        <v>1236452024.7</v>
      </c>
      <c r="K5" s="134">
        <f>SUM(C5:J5)</f>
        <v>1708756844.5799999</v>
      </c>
      <c r="L5" s="134">
        <f>SUM(F5:J5)</f>
        <v>1504849756.5700002</v>
      </c>
      <c r="M5" s="747"/>
      <c r="N5" s="747">
        <v>932019201.70000005</v>
      </c>
      <c r="O5" s="912"/>
    </row>
    <row r="6" spans="1:16" ht="12.75" customHeight="1" x14ac:dyDescent="0.2">
      <c r="A6" s="39" t="s">
        <v>1079</v>
      </c>
      <c r="B6" s="169">
        <v>1300</v>
      </c>
      <c r="C6" s="745">
        <v>271761771.19999999</v>
      </c>
      <c r="D6" s="733">
        <v>22031868.600000001</v>
      </c>
      <c r="E6" s="733">
        <v>8956023.9100000001</v>
      </c>
      <c r="F6" s="733">
        <v>3461306.46</v>
      </c>
      <c r="G6" s="733">
        <v>6353024.9800000004</v>
      </c>
      <c r="H6" s="733">
        <v>6540960.3300000001</v>
      </c>
      <c r="I6" s="733">
        <v>31278016.399999999</v>
      </c>
      <c r="J6" s="744">
        <v>108167832.5</v>
      </c>
      <c r="K6" s="134">
        <f>SUM(C6:J6)</f>
        <v>458550804.38</v>
      </c>
      <c r="L6" s="134">
        <f t="shared" ref="L6:L12" si="0">SUM(F6:J6)</f>
        <v>155801140.67000002</v>
      </c>
      <c r="M6" s="747"/>
      <c r="N6" s="747">
        <v>81718579.530000001</v>
      </c>
      <c r="O6" s="912"/>
    </row>
    <row r="7" spans="1:16" ht="12.75" customHeight="1" x14ac:dyDescent="0.2">
      <c r="A7" s="39" t="s">
        <v>1078</v>
      </c>
      <c r="B7" s="169">
        <v>1400</v>
      </c>
      <c r="C7" s="745">
        <v>161389589.72999999</v>
      </c>
      <c r="D7" s="733">
        <v>48523957.310000002</v>
      </c>
      <c r="E7" s="733">
        <v>27839744.32</v>
      </c>
      <c r="F7" s="733">
        <v>23434297.800000001</v>
      </c>
      <c r="G7" s="733">
        <v>22283963.07</v>
      </c>
      <c r="H7" s="733">
        <v>22449441.449999999</v>
      </c>
      <c r="I7" s="733">
        <v>119253649.48999999</v>
      </c>
      <c r="J7" s="744">
        <v>513988290.86000001</v>
      </c>
      <c r="K7" s="134">
        <f t="shared" ref="K7:K13" si="1">SUM(C7:J7)</f>
        <v>939162934.02999997</v>
      </c>
      <c r="L7" s="134">
        <f t="shared" si="0"/>
        <v>701409642.67000008</v>
      </c>
      <c r="M7" s="747"/>
      <c r="N7" s="747">
        <v>385674767.19</v>
      </c>
      <c r="O7" s="912"/>
    </row>
    <row r="8" spans="1:16" ht="12.75" customHeight="1" x14ac:dyDescent="0.2">
      <c r="A8" s="39" t="s">
        <v>1080</v>
      </c>
      <c r="B8" s="169">
        <v>1500</v>
      </c>
      <c r="C8" s="745">
        <v>26095337.129999999</v>
      </c>
      <c r="D8" s="733">
        <v>6007909.4100000001</v>
      </c>
      <c r="E8" s="733">
        <v>5692357.5300000003</v>
      </c>
      <c r="F8" s="733">
        <v>5962482.54</v>
      </c>
      <c r="G8" s="733">
        <v>4760183.83</v>
      </c>
      <c r="H8" s="733">
        <v>4673293.99</v>
      </c>
      <c r="I8" s="733">
        <v>29939849.690000001</v>
      </c>
      <c r="J8" s="744">
        <v>228072671.87</v>
      </c>
      <c r="K8" s="134">
        <f t="shared" si="1"/>
        <v>311204085.99000001</v>
      </c>
      <c r="L8" s="134">
        <f t="shared" si="0"/>
        <v>273408481.92000002</v>
      </c>
      <c r="M8" s="747"/>
      <c r="N8" s="747">
        <v>181261913.66</v>
      </c>
      <c r="O8" s="912"/>
    </row>
    <row r="9" spans="1:16" ht="12.75" customHeight="1" x14ac:dyDescent="0.2">
      <c r="A9" s="39" t="s">
        <v>1081</v>
      </c>
      <c r="B9" s="169">
        <v>1600</v>
      </c>
      <c r="C9" s="745">
        <v>15070035.210000001</v>
      </c>
      <c r="D9" s="733">
        <v>3513252.69</v>
      </c>
      <c r="E9" s="733">
        <v>2274959.59</v>
      </c>
      <c r="F9" s="733">
        <v>2753799.36</v>
      </c>
      <c r="G9" s="733">
        <v>2665588.31</v>
      </c>
      <c r="H9" s="733">
        <v>2629285.96</v>
      </c>
      <c r="I9" s="733">
        <v>18685946.09</v>
      </c>
      <c r="J9" s="744">
        <v>129840063.39</v>
      </c>
      <c r="K9" s="134">
        <f t="shared" si="1"/>
        <v>177432930.59999999</v>
      </c>
      <c r="L9" s="134">
        <f>SUM(F9:J9)</f>
        <v>156574683.11000001</v>
      </c>
      <c r="M9" s="747"/>
      <c r="N9" s="747">
        <v>99529774.5</v>
      </c>
      <c r="O9" s="912"/>
    </row>
    <row r="10" spans="1:16" ht="12.75" customHeight="1" x14ac:dyDescent="0.2">
      <c r="A10" s="39" t="s">
        <v>1082</v>
      </c>
      <c r="B10" s="169">
        <v>1700</v>
      </c>
      <c r="C10" s="745">
        <v>3005238.75</v>
      </c>
      <c r="D10" s="733">
        <v>1049120.8799999999</v>
      </c>
      <c r="E10" s="733">
        <v>807856.57</v>
      </c>
      <c r="F10" s="733">
        <v>1660177.98</v>
      </c>
      <c r="G10" s="733">
        <v>2380343.11</v>
      </c>
      <c r="H10" s="733">
        <v>566450.43999999994</v>
      </c>
      <c r="I10" s="733">
        <v>7129879.8099999996</v>
      </c>
      <c r="J10" s="744">
        <v>38825145.68</v>
      </c>
      <c r="K10" s="134">
        <f t="shared" si="1"/>
        <v>55424213.219999999</v>
      </c>
      <c r="L10" s="134">
        <f>SUM(F10:J10)</f>
        <v>50561997.019999996</v>
      </c>
      <c r="M10" s="747"/>
      <c r="N10" s="747">
        <v>32165582.68</v>
      </c>
      <c r="O10" s="912"/>
    </row>
    <row r="11" spans="1:16" ht="12.75" customHeight="1" x14ac:dyDescent="0.2">
      <c r="A11" s="39" t="s">
        <v>1083</v>
      </c>
      <c r="B11" s="169">
        <v>1810</v>
      </c>
      <c r="C11" s="745">
        <v>33108525.329999998</v>
      </c>
      <c r="D11" s="733">
        <v>22851874.68</v>
      </c>
      <c r="E11" s="733">
        <v>34152761.280000001</v>
      </c>
      <c r="F11" s="733">
        <v>24289195.25</v>
      </c>
      <c r="G11" s="733">
        <v>-15779.51</v>
      </c>
      <c r="H11" s="733">
        <v>23599609.25</v>
      </c>
      <c r="I11" s="733">
        <v>142166679.78</v>
      </c>
      <c r="J11" s="744">
        <v>426381540.86000001</v>
      </c>
      <c r="K11" s="134">
        <f t="shared" si="1"/>
        <v>706534406.91999996</v>
      </c>
      <c r="L11" s="134">
        <f t="shared" si="0"/>
        <v>616421245.63</v>
      </c>
      <c r="M11" s="747"/>
      <c r="N11" s="747">
        <v>173135915.33000001</v>
      </c>
      <c r="O11" s="912"/>
      <c r="P11" s="96"/>
    </row>
    <row r="12" spans="1:16" ht="12.75" customHeight="1" x14ac:dyDescent="0.2">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
      <c r="A13" s="39" t="s">
        <v>718</v>
      </c>
      <c r="B13" s="169">
        <v>1900</v>
      </c>
      <c r="C13" s="745">
        <v>391538.6</v>
      </c>
      <c r="D13" s="733">
        <v>415507.19</v>
      </c>
      <c r="E13" s="733">
        <v>840104.41</v>
      </c>
      <c r="F13" s="733">
        <v>0</v>
      </c>
      <c r="G13" s="733">
        <v>0</v>
      </c>
      <c r="H13" s="733">
        <v>28883.61</v>
      </c>
      <c r="I13" s="733">
        <v>489543.79</v>
      </c>
      <c r="J13" s="744">
        <v>319856238.80000001</v>
      </c>
      <c r="K13" s="134">
        <f t="shared" si="1"/>
        <v>322021816.40000004</v>
      </c>
      <c r="L13" s="134">
        <f>SUM(F13:J13)</f>
        <v>320374666.19999999</v>
      </c>
      <c r="M13" s="747"/>
      <c r="N13" s="747">
        <v>319346586.02999997</v>
      </c>
      <c r="O13" s="912"/>
    </row>
    <row r="14" spans="1:16" ht="12.75" customHeight="1" x14ac:dyDescent="0.2">
      <c r="A14" s="53" t="s">
        <v>1085</v>
      </c>
      <c r="B14" s="284">
        <v>2000</v>
      </c>
      <c r="C14" s="56">
        <f t="shared" ref="C14:N14" si="2">SUM(C5:C13)</f>
        <v>641707402.23000014</v>
      </c>
      <c r="D14" s="55">
        <f t="shared" si="2"/>
        <v>149495508.66</v>
      </c>
      <c r="E14" s="55">
        <f t="shared" si="2"/>
        <v>108483511.43999998</v>
      </c>
      <c r="F14" s="55">
        <f t="shared" si="2"/>
        <v>90275349.409999996</v>
      </c>
      <c r="G14" s="55">
        <f t="shared" si="2"/>
        <v>61661672.800000004</v>
      </c>
      <c r="H14" s="55">
        <f t="shared" si="2"/>
        <v>88894474.260000005</v>
      </c>
      <c r="I14" s="55">
        <f t="shared" si="2"/>
        <v>536986308.65999997</v>
      </c>
      <c r="J14" s="83">
        <f t="shared" si="2"/>
        <v>3001583808.6599998</v>
      </c>
      <c r="K14" s="112">
        <f t="shared" si="2"/>
        <v>4679088036.1199989</v>
      </c>
      <c r="L14" s="112">
        <f>SUM(L5:L13)</f>
        <v>3779401613.7900004</v>
      </c>
      <c r="M14" s="54">
        <f t="shared" si="2"/>
        <v>0</v>
      </c>
      <c r="N14" s="54">
        <f t="shared" si="2"/>
        <v>2204852320.6199999</v>
      </c>
      <c r="O14" s="913"/>
    </row>
    <row r="15" spans="1:16" ht="12.75" customHeight="1" x14ac:dyDescent="0.2">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
      <c r="A16" s="87" t="s">
        <v>1089</v>
      </c>
      <c r="B16" s="169"/>
      <c r="C16" s="46"/>
      <c r="D16" s="44"/>
      <c r="E16" s="44"/>
      <c r="F16" s="44"/>
      <c r="G16" s="44"/>
      <c r="H16" s="44"/>
      <c r="I16" s="44"/>
      <c r="J16" s="108"/>
      <c r="K16" s="134"/>
      <c r="L16" s="645"/>
      <c r="M16" s="45"/>
      <c r="N16" s="895"/>
    </row>
    <row r="17" spans="1:14" ht="12.75" customHeight="1" x14ac:dyDescent="0.2">
      <c r="A17" s="39" t="s">
        <v>1086</v>
      </c>
      <c r="B17" s="169">
        <v>2200</v>
      </c>
      <c r="C17" s="745">
        <v>64128547.909999996</v>
      </c>
      <c r="D17" s="733">
        <v>9929713.2799999993</v>
      </c>
      <c r="E17" s="733">
        <v>12440985.869999999</v>
      </c>
      <c r="F17" s="733">
        <v>4320878.6399999997</v>
      </c>
      <c r="G17" s="733">
        <v>4437586.45</v>
      </c>
      <c r="H17" s="733">
        <v>4371685.72</v>
      </c>
      <c r="I17" s="733">
        <v>23938499.359999999</v>
      </c>
      <c r="J17" s="744">
        <v>108247629.09</v>
      </c>
      <c r="K17" s="134">
        <f>SUM(C17:J17)</f>
        <v>231815526.31999999</v>
      </c>
      <c r="L17" s="645">
        <f>SUM(F17:J17)</f>
        <v>145316279.25999999</v>
      </c>
      <c r="M17" s="747"/>
      <c r="N17" s="748">
        <v>211037920.27000001</v>
      </c>
    </row>
    <row r="18" spans="1:14" ht="12.75" customHeight="1" x14ac:dyDescent="0.2">
      <c r="A18" s="39" t="s">
        <v>1087</v>
      </c>
      <c r="B18" s="169">
        <v>2300</v>
      </c>
      <c r="C18" s="745">
        <v>273250360.02999997</v>
      </c>
      <c r="D18" s="733">
        <v>39584954.859999999</v>
      </c>
      <c r="E18" s="733">
        <v>19529895.34</v>
      </c>
      <c r="F18" s="733">
        <v>16954900.77</v>
      </c>
      <c r="G18" s="733">
        <v>12916298.380000001</v>
      </c>
      <c r="H18" s="733">
        <v>16808382.620000001</v>
      </c>
      <c r="I18" s="733">
        <v>82103094.980000004</v>
      </c>
      <c r="J18" s="744">
        <v>312686248.94999999</v>
      </c>
      <c r="K18" s="134">
        <f>SUM(C18:J18)</f>
        <v>773834135.92999995</v>
      </c>
      <c r="L18" s="645">
        <f>SUM(F18:J18)</f>
        <v>441468925.69999999</v>
      </c>
      <c r="M18" s="747"/>
      <c r="N18" s="748">
        <v>69261985.900000006</v>
      </c>
    </row>
    <row r="19" spans="1:14" ht="12.75" customHeight="1" x14ac:dyDescent="0.2">
      <c r="A19" s="39" t="s">
        <v>685</v>
      </c>
      <c r="B19" s="169">
        <v>2400</v>
      </c>
      <c r="C19" s="745">
        <v>288864629.36000001</v>
      </c>
      <c r="D19" s="733">
        <v>90765756.519999996</v>
      </c>
      <c r="E19" s="733">
        <v>72673247.510000005</v>
      </c>
      <c r="F19" s="733">
        <v>64527361.640000001</v>
      </c>
      <c r="G19" s="733">
        <v>41909392.789999999</v>
      </c>
      <c r="H19" s="733">
        <v>64032096.149999999</v>
      </c>
      <c r="I19" s="733">
        <v>406583968.24000001</v>
      </c>
      <c r="J19" s="744">
        <v>2410960978.6599998</v>
      </c>
      <c r="K19" s="134">
        <f>SUM(C19:J19)</f>
        <v>3440317430.8699999</v>
      </c>
      <c r="L19" s="645">
        <f>SUM(F19:J19)</f>
        <v>2988013797.48</v>
      </c>
      <c r="M19" s="747"/>
      <c r="N19" s="748">
        <v>1788948886.1400001</v>
      </c>
    </row>
    <row r="20" spans="1:14" ht="12.75" customHeight="1" x14ac:dyDescent="0.2">
      <c r="A20" s="39" t="s">
        <v>718</v>
      </c>
      <c r="B20" s="169">
        <v>2500</v>
      </c>
      <c r="C20" s="745">
        <v>15463864.93</v>
      </c>
      <c r="D20" s="733">
        <v>9215084</v>
      </c>
      <c r="E20" s="733">
        <v>3839382.72</v>
      </c>
      <c r="F20" s="733">
        <v>4472208.3600000003</v>
      </c>
      <c r="G20" s="733">
        <v>2398395.1800000002</v>
      </c>
      <c r="H20" s="733">
        <v>3682309.77</v>
      </c>
      <c r="I20" s="733">
        <v>24360746.079999998</v>
      </c>
      <c r="J20" s="744">
        <v>169688951.96000001</v>
      </c>
      <c r="K20" s="134">
        <f>SUM(C20:J20)</f>
        <v>233120943</v>
      </c>
      <c r="L20" s="645">
        <f>SUM(F20:J20)</f>
        <v>204602611.35000002</v>
      </c>
      <c r="M20" s="747"/>
      <c r="N20" s="749">
        <v>135603528.31</v>
      </c>
    </row>
    <row r="21" spans="1:14" ht="12.75" customHeight="1" x14ac:dyDescent="0.2">
      <c r="A21" s="53" t="s">
        <v>1090</v>
      </c>
      <c r="B21" s="284">
        <v>2600</v>
      </c>
      <c r="C21" s="56">
        <f t="shared" ref="C21:I21" si="3">SUM(C17:C20)</f>
        <v>641707402.2299999</v>
      </c>
      <c r="D21" s="55">
        <f t="shared" si="3"/>
        <v>149495508.66</v>
      </c>
      <c r="E21" s="55">
        <f t="shared" si="3"/>
        <v>108483511.44</v>
      </c>
      <c r="F21" s="55">
        <f t="shared" si="3"/>
        <v>90275349.409999996</v>
      </c>
      <c r="G21" s="55">
        <f t="shared" si="3"/>
        <v>61661672.800000004</v>
      </c>
      <c r="H21" s="55">
        <f t="shared" si="3"/>
        <v>88894474.25999999</v>
      </c>
      <c r="I21" s="55">
        <f t="shared" si="3"/>
        <v>536986308.66000009</v>
      </c>
      <c r="J21" s="83">
        <f>SUM(J17:J20)</f>
        <v>3001583808.6599998</v>
      </c>
      <c r="K21" s="112">
        <f>SUM(K17:K20)</f>
        <v>4679088036.1199999</v>
      </c>
      <c r="L21" s="914">
        <f>SUM(L17:L20)</f>
        <v>3779401613.79</v>
      </c>
      <c r="M21" s="54">
        <f>SUM(M17:M20)</f>
        <v>0</v>
      </c>
      <c r="N21" s="244">
        <f>SUM(N17:N20)</f>
        <v>2204852320.6200004</v>
      </c>
    </row>
    <row r="22" spans="1:14" ht="12.75" customHeight="1" x14ac:dyDescent="0.2">
      <c r="A22" s="57" t="s">
        <v>789</v>
      </c>
      <c r="B22" s="167"/>
      <c r="C22" s="49"/>
      <c r="D22" s="49"/>
      <c r="E22" s="49"/>
      <c r="F22" s="49"/>
      <c r="G22" s="49"/>
      <c r="H22" s="49"/>
      <c r="I22" s="49"/>
      <c r="J22" s="49"/>
      <c r="K22" s="49"/>
      <c r="L22" s="49"/>
      <c r="M22" s="49"/>
      <c r="N22" s="49"/>
    </row>
    <row r="23" spans="1:14" ht="10.199999999999999" x14ac:dyDescent="0.2">
      <c r="A23" s="80" t="s">
        <v>621</v>
      </c>
    </row>
    <row r="24" spans="1:14" ht="10.199999999999999" x14ac:dyDescent="0.2">
      <c r="A24" s="80" t="s">
        <v>535</v>
      </c>
    </row>
    <row r="25" spans="1:14" ht="10.199999999999999" x14ac:dyDescent="0.2">
      <c r="A25" s="80" t="s">
        <v>1091</v>
      </c>
    </row>
    <row r="26" spans="1:14" ht="10.199999999999999" x14ac:dyDescent="0.2">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199999999999999" x14ac:dyDescent="0.2">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3.2" x14ac:dyDescent="0.25"/>
  <cols>
    <col min="22" max="22" width="5.44140625" customWidth="1"/>
    <col min="23" max="23" width="9.44140625" style="588" customWidth="1"/>
    <col min="24" max="24" width="14.33203125" style="588" customWidth="1"/>
    <col min="25" max="25" width="9.109375" style="588" customWidth="1"/>
  </cols>
  <sheetData>
    <row r="2" spans="4:25" x14ac:dyDescent="0.25">
      <c r="D2">
        <v>2020</v>
      </c>
    </row>
    <row r="4" spans="4:25" x14ac:dyDescent="0.25">
      <c r="X4" s="680" t="s">
        <v>570</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865</v>
      </c>
      <c r="X10" s="683">
        <v>13</v>
      </c>
    </row>
    <row r="11" spans="4:25" x14ac:dyDescent="0.25">
      <c r="W11" s="646" t="s">
        <v>866</v>
      </c>
      <c r="X11" s="701" t="str">
        <f>VLOOKUP(X10,W39:X55,2)</f>
        <v>Q1 First Quarter</v>
      </c>
      <c r="Y11" s="902">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859</v>
      </c>
      <c r="W39" s="646">
        <v>1</v>
      </c>
      <c r="X39" s="646" t="s">
        <v>861</v>
      </c>
      <c r="Y39" s="901"/>
    </row>
    <row r="40" spans="22:25" x14ac:dyDescent="0.25">
      <c r="W40" s="646">
        <v>2</v>
      </c>
      <c r="X40" s="646" t="s">
        <v>862</v>
      </c>
      <c r="Y40" s="901"/>
    </row>
    <row r="41" spans="22:25" x14ac:dyDescent="0.25">
      <c r="W41" s="646">
        <v>3</v>
      </c>
      <c r="X41" s="646" t="s">
        <v>867</v>
      </c>
    </row>
    <row r="42" spans="22:25" x14ac:dyDescent="0.25">
      <c r="W42" s="646">
        <v>4</v>
      </c>
      <c r="X42" s="646" t="s">
        <v>868</v>
      </c>
    </row>
    <row r="43" spans="22:25" x14ac:dyDescent="0.25">
      <c r="W43" s="646">
        <v>5</v>
      </c>
      <c r="X43" s="646" t="s">
        <v>869</v>
      </c>
    </row>
    <row r="44" spans="22:25" x14ac:dyDescent="0.25">
      <c r="W44" s="646">
        <v>6</v>
      </c>
      <c r="X44" s="646" t="s">
        <v>870</v>
      </c>
    </row>
    <row r="45" spans="22:25" x14ac:dyDescent="0.25">
      <c r="W45" s="646">
        <v>7</v>
      </c>
      <c r="X45" s="646" t="s">
        <v>871</v>
      </c>
    </row>
    <row r="46" spans="22:25" x14ac:dyDescent="0.25">
      <c r="W46" s="646">
        <v>8</v>
      </c>
      <c r="X46" s="646" t="s">
        <v>872</v>
      </c>
    </row>
    <row r="47" spans="22:25" x14ac:dyDescent="0.25">
      <c r="W47" s="646">
        <v>9</v>
      </c>
      <c r="X47" s="646" t="s">
        <v>873</v>
      </c>
    </row>
    <row r="48" spans="22:25" x14ac:dyDescent="0.25">
      <c r="W48" s="646">
        <v>10</v>
      </c>
      <c r="X48" s="646" t="s">
        <v>874</v>
      </c>
    </row>
    <row r="49" spans="23:24" x14ac:dyDescent="0.25">
      <c r="W49" s="646">
        <v>11</v>
      </c>
      <c r="X49" s="646" t="s">
        <v>875</v>
      </c>
    </row>
    <row r="50" spans="23:24" x14ac:dyDescent="0.25">
      <c r="W50" s="646">
        <v>12</v>
      </c>
      <c r="X50" s="646" t="s">
        <v>876</v>
      </c>
    </row>
    <row r="51" spans="23:24" x14ac:dyDescent="0.25">
      <c r="W51" s="646">
        <v>13</v>
      </c>
      <c r="X51" s="646" t="s">
        <v>863</v>
      </c>
    </row>
    <row r="52" spans="23:24" x14ac:dyDescent="0.25">
      <c r="W52" s="646">
        <v>14</v>
      </c>
      <c r="X52" s="646" t="s">
        <v>864</v>
      </c>
    </row>
    <row r="53" spans="23:24" x14ac:dyDescent="0.25">
      <c r="W53" s="646">
        <v>15</v>
      </c>
      <c r="X53" s="646" t="s">
        <v>877</v>
      </c>
    </row>
    <row r="54" spans="23:24" x14ac:dyDescent="0.25">
      <c r="W54" s="646">
        <v>16</v>
      </c>
      <c r="X54" s="646" t="s">
        <v>878</v>
      </c>
    </row>
    <row r="55" spans="23:24" x14ac:dyDescent="0.25">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220980</xdr:colOff>
                <xdr:row>7</xdr:row>
                <xdr:rowOff>45720</xdr:rowOff>
              </from>
              <to>
                <xdr:col>11</xdr:col>
                <xdr:colOff>251460</xdr:colOff>
                <xdr:row>8</xdr:row>
                <xdr:rowOff>137160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220980</xdr:colOff>
                <xdr:row>9</xdr:row>
                <xdr:rowOff>121920</xdr:rowOff>
              </from>
              <to>
                <xdr:col>7</xdr:col>
                <xdr:colOff>556260</xdr:colOff>
                <xdr:row>11</xdr:row>
                <xdr:rowOff>45720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220980</xdr:colOff>
                <xdr:row>12</xdr:row>
                <xdr:rowOff>30480</xdr:rowOff>
              </from>
              <to>
                <xdr:col>11</xdr:col>
                <xdr:colOff>251460</xdr:colOff>
                <xdr:row>13</xdr:row>
                <xdr:rowOff>121920</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121920</xdr:rowOff>
              </from>
              <to>
                <xdr:col>5</xdr:col>
                <xdr:colOff>129540</xdr:colOff>
                <xdr:row>37</xdr:row>
                <xdr:rowOff>114300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45720</xdr:rowOff>
              </from>
              <to>
                <xdr:col>5</xdr:col>
                <xdr:colOff>129540</xdr:colOff>
                <xdr:row>40</xdr:row>
                <xdr:rowOff>22860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7620</xdr:rowOff>
              </from>
              <to>
                <xdr:col>5</xdr:col>
                <xdr:colOff>129540</xdr:colOff>
                <xdr:row>45</xdr:row>
                <xdr:rowOff>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sqref="A1:L15"/>
    </sheetView>
  </sheetViews>
  <sheetFormatPr defaultColWidth="9.109375" defaultRowHeight="21.75" customHeight="1" x14ac:dyDescent="0.2"/>
  <cols>
    <col min="1" max="1" width="25.6640625" style="25" customWidth="1"/>
    <col min="2" max="2" width="5.109375" style="25" bestFit="1" customWidth="1"/>
    <col min="3" max="11" width="8.6640625" style="25" customWidth="1"/>
    <col min="12" max="16384" width="9.109375" style="25"/>
  </cols>
  <sheetData>
    <row r="1" spans="1:12" ht="12.75" customHeight="1" x14ac:dyDescent="0.3">
      <c r="A1" s="1053" t="str">
        <f>muni&amp; " - "&amp;S71J&amp; " - "&amp;Head57</f>
        <v>KZN225 Msunduzi - Supporting Table SC4 Monthly Budget Statement - aged creditors  - Q1 First Quarter</v>
      </c>
      <c r="B1" s="1053"/>
      <c r="C1" s="1053"/>
      <c r="D1" s="1053"/>
      <c r="E1" s="1053"/>
      <c r="F1" s="1053"/>
      <c r="G1" s="1053"/>
      <c r="H1" s="1053"/>
      <c r="I1" s="1053"/>
      <c r="J1" s="1053"/>
      <c r="K1" s="1053"/>
    </row>
    <row r="2" spans="1:12" ht="12.75" customHeight="1" x14ac:dyDescent="0.2">
      <c r="A2" s="1042" t="str">
        <f>desc</f>
        <v>Description</v>
      </c>
      <c r="B2" s="1074" t="s">
        <v>734</v>
      </c>
      <c r="C2" s="137" t="str">
        <f>Head2</f>
        <v>Budget Year 2020/21</v>
      </c>
      <c r="D2" s="137"/>
      <c r="E2" s="137"/>
      <c r="F2" s="137"/>
      <c r="G2" s="137"/>
      <c r="H2" s="137"/>
      <c r="I2" s="137"/>
      <c r="J2" s="137"/>
      <c r="K2" s="138"/>
      <c r="L2" s="1064" t="s">
        <v>74</v>
      </c>
    </row>
    <row r="3" spans="1:12" ht="12.75" customHeight="1" x14ac:dyDescent="0.2">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
      <c r="A4" s="34" t="s">
        <v>667</v>
      </c>
      <c r="B4" s="1072"/>
      <c r="C4" s="1077"/>
      <c r="D4" s="1068"/>
      <c r="E4" s="1068"/>
      <c r="F4" s="1068"/>
      <c r="G4" s="1068"/>
      <c r="H4" s="1068"/>
      <c r="I4" s="1068"/>
      <c r="J4" s="1070"/>
      <c r="K4" s="1072"/>
      <c r="L4" s="1066"/>
    </row>
    <row r="5" spans="1:12" ht="12.75" customHeight="1" x14ac:dyDescent="0.2">
      <c r="A5" s="87" t="s">
        <v>663</v>
      </c>
      <c r="B5" s="169"/>
      <c r="C5" s="287"/>
      <c r="D5" s="165"/>
      <c r="E5" s="165"/>
      <c r="F5" s="165"/>
      <c r="G5" s="165"/>
      <c r="H5" s="165"/>
      <c r="I5" s="165"/>
      <c r="J5" s="285"/>
      <c r="K5" s="166"/>
      <c r="L5" s="166"/>
    </row>
    <row r="6" spans="1:12" ht="12.75" customHeight="1" x14ac:dyDescent="0.2">
      <c r="A6" s="39" t="s">
        <v>686</v>
      </c>
      <c r="B6" s="169" t="s">
        <v>687</v>
      </c>
      <c r="C6" s="753">
        <v>240028633.50999999</v>
      </c>
      <c r="D6" s="733">
        <v>130570724.97</v>
      </c>
      <c r="E6" s="733"/>
      <c r="F6" s="733"/>
      <c r="G6" s="733"/>
      <c r="H6" s="733"/>
      <c r="I6" s="733"/>
      <c r="J6" s="735"/>
      <c r="K6" s="109">
        <f>SUM(C6:J6)</f>
        <v>370599358.48000002</v>
      </c>
      <c r="L6" s="748">
        <v>230871137</v>
      </c>
    </row>
    <row r="7" spans="1:12" ht="12.75" customHeight="1" x14ac:dyDescent="0.2">
      <c r="A7" s="39" t="s">
        <v>688</v>
      </c>
      <c r="B7" s="169" t="s">
        <v>689</v>
      </c>
      <c r="C7" s="753">
        <v>110170632.06</v>
      </c>
      <c r="D7" s="733">
        <v>40850771.240000002</v>
      </c>
      <c r="E7" s="733">
        <v>94231931.290000007</v>
      </c>
      <c r="F7" s="733">
        <v>289572.01</v>
      </c>
      <c r="G7" s="733"/>
      <c r="H7" s="733"/>
      <c r="I7" s="733"/>
      <c r="J7" s="735"/>
      <c r="K7" s="109">
        <f t="shared" ref="K7:K13" si="0">SUM(C7:J7)</f>
        <v>245542906.60000002</v>
      </c>
      <c r="L7" s="748">
        <v>64933954</v>
      </c>
    </row>
    <row r="8" spans="1:12" ht="12.75" customHeight="1" x14ac:dyDescent="0.2">
      <c r="A8" s="39" t="s">
        <v>690</v>
      </c>
      <c r="B8" s="169" t="s">
        <v>691</v>
      </c>
      <c r="C8" s="753"/>
      <c r="D8" s="733"/>
      <c r="E8" s="733"/>
      <c r="F8" s="733"/>
      <c r="G8" s="733"/>
      <c r="H8" s="733"/>
      <c r="I8" s="733"/>
      <c r="J8" s="735"/>
      <c r="K8" s="109">
        <f t="shared" si="0"/>
        <v>0</v>
      </c>
      <c r="L8" s="748">
        <v>0</v>
      </c>
    </row>
    <row r="9" spans="1:12" ht="12.75" customHeight="1" x14ac:dyDescent="0.2">
      <c r="A9" s="39" t="s">
        <v>591</v>
      </c>
      <c r="B9" s="169" t="s">
        <v>592</v>
      </c>
      <c r="C9" s="753">
        <v>130845300.55999999</v>
      </c>
      <c r="D9" s="733"/>
      <c r="E9" s="733"/>
      <c r="F9" s="733"/>
      <c r="G9" s="733"/>
      <c r="H9" s="733"/>
      <c r="I9" s="733"/>
      <c r="J9" s="735"/>
      <c r="K9" s="109">
        <f t="shared" si="0"/>
        <v>130845300.55999999</v>
      </c>
      <c r="L9" s="748">
        <v>102675874</v>
      </c>
    </row>
    <row r="10" spans="1:12" ht="12.75" customHeight="1" x14ac:dyDescent="0.2">
      <c r="A10" s="39" t="s">
        <v>593</v>
      </c>
      <c r="B10" s="169" t="s">
        <v>594</v>
      </c>
      <c r="C10" s="753"/>
      <c r="D10" s="733"/>
      <c r="E10" s="733"/>
      <c r="F10" s="733"/>
      <c r="G10" s="733"/>
      <c r="H10" s="733"/>
      <c r="I10" s="733"/>
      <c r="J10" s="735"/>
      <c r="K10" s="109">
        <f t="shared" si="0"/>
        <v>0</v>
      </c>
      <c r="L10" s="748">
        <v>0</v>
      </c>
    </row>
    <row r="11" spans="1:12" ht="12.75" customHeight="1" x14ac:dyDescent="0.2">
      <c r="A11" s="39" t="s">
        <v>595</v>
      </c>
      <c r="B11" s="169" t="s">
        <v>596</v>
      </c>
      <c r="C11" s="753"/>
      <c r="D11" s="733"/>
      <c r="E11" s="733"/>
      <c r="F11" s="733"/>
      <c r="G11" s="733"/>
      <c r="H11" s="733"/>
      <c r="I11" s="733"/>
      <c r="J11" s="735"/>
      <c r="K11" s="109">
        <f t="shared" si="0"/>
        <v>0</v>
      </c>
      <c r="L11" s="748">
        <v>0</v>
      </c>
    </row>
    <row r="12" spans="1:12" ht="12.75" customHeight="1" x14ac:dyDescent="0.2">
      <c r="A12" s="39" t="s">
        <v>597</v>
      </c>
      <c r="B12" s="169" t="s">
        <v>598</v>
      </c>
      <c r="C12" s="753">
        <v>57822003.440000027</v>
      </c>
      <c r="D12" s="733">
        <v>8433203.2999999896</v>
      </c>
      <c r="E12" s="733">
        <v>11406869.379999995</v>
      </c>
      <c r="F12" s="733">
        <v>10912020.040000001</v>
      </c>
      <c r="G12" s="733">
        <v>291604.40000000002</v>
      </c>
      <c r="H12" s="733">
        <v>71009.789999999994</v>
      </c>
      <c r="I12" s="733">
        <v>228741.84</v>
      </c>
      <c r="J12" s="735">
        <v>632098.70999999903</v>
      </c>
      <c r="K12" s="109">
        <f t="shared" si="0"/>
        <v>89797550.900000021</v>
      </c>
      <c r="L12" s="748">
        <v>67396930</v>
      </c>
    </row>
    <row r="13" spans="1:12" ht="12.75" customHeight="1" x14ac:dyDescent="0.2">
      <c r="A13" s="39" t="s">
        <v>599</v>
      </c>
      <c r="B13" s="169" t="s">
        <v>600</v>
      </c>
      <c r="C13" s="753">
        <v>91221.91</v>
      </c>
      <c r="D13" s="733"/>
      <c r="E13" s="733"/>
      <c r="F13" s="733"/>
      <c r="G13" s="733"/>
      <c r="H13" s="733"/>
      <c r="I13" s="733"/>
      <c r="J13" s="735"/>
      <c r="K13" s="109">
        <f t="shared" si="0"/>
        <v>91221.91</v>
      </c>
      <c r="L13" s="748">
        <v>0</v>
      </c>
    </row>
    <row r="14" spans="1:12" ht="12.75" customHeight="1" x14ac:dyDescent="0.2">
      <c r="A14" s="39" t="s">
        <v>718</v>
      </c>
      <c r="B14" s="169" t="s">
        <v>601</v>
      </c>
      <c r="C14" s="753">
        <v>377432080.77999997</v>
      </c>
      <c r="D14" s="733"/>
      <c r="E14" s="733"/>
      <c r="F14" s="733"/>
      <c r="G14" s="733"/>
      <c r="H14" s="733"/>
      <c r="I14" s="733"/>
      <c r="J14" s="735"/>
      <c r="K14" s="109">
        <f>SUM(C14:J14)</f>
        <v>377432080.77999997</v>
      </c>
      <c r="L14" s="748">
        <v>248778058</v>
      </c>
    </row>
    <row r="15" spans="1:12" ht="12.75" customHeight="1" x14ac:dyDescent="0.2">
      <c r="A15" s="53" t="s">
        <v>919</v>
      </c>
      <c r="B15" s="284">
        <v>1000</v>
      </c>
      <c r="C15" s="271">
        <f>SUM(C6:C14)</f>
        <v>916389872.25999999</v>
      </c>
      <c r="D15" s="55">
        <f t="shared" ref="D15:J15" si="1">SUM(D6:D14)</f>
        <v>179854699.50999999</v>
      </c>
      <c r="E15" s="55">
        <f t="shared" si="1"/>
        <v>105638800.67</v>
      </c>
      <c r="F15" s="55">
        <f t="shared" si="1"/>
        <v>11201592.050000001</v>
      </c>
      <c r="G15" s="55">
        <f t="shared" si="1"/>
        <v>291604.40000000002</v>
      </c>
      <c r="H15" s="55">
        <f t="shared" si="1"/>
        <v>71009.789999999994</v>
      </c>
      <c r="I15" s="55">
        <f t="shared" si="1"/>
        <v>228741.84</v>
      </c>
      <c r="J15" s="235">
        <f t="shared" si="1"/>
        <v>632098.70999999903</v>
      </c>
      <c r="K15" s="112">
        <f>SUM(K6:K14)</f>
        <v>1214308419.23</v>
      </c>
      <c r="L15" s="160">
        <f>SUM(L6:L14)</f>
        <v>714655953</v>
      </c>
    </row>
    <row r="16" spans="1:12" ht="12.75" customHeight="1" x14ac:dyDescent="0.2">
      <c r="A16" s="57" t="s">
        <v>789</v>
      </c>
      <c r="B16" s="167"/>
      <c r="C16" s="49"/>
      <c r="D16" s="49"/>
      <c r="E16" s="49"/>
      <c r="F16" s="49"/>
      <c r="G16" s="49"/>
      <c r="H16" s="49"/>
      <c r="I16" s="49"/>
      <c r="J16" s="49"/>
      <c r="K16" s="49"/>
    </row>
    <row r="17" spans="1:1" ht="12.75" customHeight="1" x14ac:dyDescent="0.2">
      <c r="A17" s="121" t="s">
        <v>620</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sqref="A1:O24"/>
    </sheetView>
  </sheetViews>
  <sheetFormatPr defaultColWidth="9.109375" defaultRowHeight="10.199999999999999" x14ac:dyDescent="0.2"/>
  <cols>
    <col min="1" max="1" width="34.109375" style="25" customWidth="1"/>
    <col min="2" max="2" width="3.5546875" style="68" customWidth="1"/>
    <col min="3" max="10" width="8.6640625" style="25" customWidth="1"/>
    <col min="11" max="11" width="9.88671875" style="25" customWidth="1"/>
    <col min="12" max="12" width="9.88671875" style="25" bestFit="1" customWidth="1"/>
    <col min="13" max="14" width="9.88671875" style="25" customWidth="1"/>
    <col min="15" max="15" width="9.5546875" style="25" customWidth="1"/>
    <col min="16" max="16" width="9.88671875" style="25" customWidth="1"/>
    <col min="17" max="19" width="9.5546875" style="25" customWidth="1"/>
    <col min="20" max="20" width="9.88671875" style="25" customWidth="1"/>
    <col min="21" max="23" width="9.5546875" style="25" customWidth="1"/>
    <col min="24" max="25" width="9.88671875" style="25" customWidth="1"/>
    <col min="26" max="16384" width="9.109375" style="25"/>
  </cols>
  <sheetData>
    <row r="1" spans="1:15" ht="13.8" x14ac:dyDescent="0.3">
      <c r="A1" s="1053" t="str">
        <f>muni&amp; " - "&amp;S71K&amp; " - "&amp;Head57</f>
        <v>KZN225 Msunduzi - Supporting Table SC5 Monthly Budget Statement - investment portfolio  - Q1 First Quarter</v>
      </c>
      <c r="B1" s="1053"/>
      <c r="C1" s="1053"/>
      <c r="D1" s="1053"/>
      <c r="E1" s="1053"/>
      <c r="F1" s="1053"/>
      <c r="G1" s="1053"/>
      <c r="H1" s="1053"/>
      <c r="I1" s="1053"/>
      <c r="J1" s="1053"/>
      <c r="K1" s="67"/>
    </row>
    <row r="2" spans="1:15" ht="54" customHeight="1" x14ac:dyDescent="0.2">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
      <c r="A3" s="34" t="s">
        <v>667</v>
      </c>
      <c r="B3" s="1072"/>
      <c r="C3" s="413" t="s">
        <v>127</v>
      </c>
      <c r="D3" s="1081"/>
      <c r="E3" s="949"/>
      <c r="F3" s="949"/>
      <c r="G3" s="949"/>
      <c r="H3" s="949"/>
      <c r="I3" s="949"/>
      <c r="J3" s="1070"/>
      <c r="K3" s="1078"/>
      <c r="L3" s="1078"/>
      <c r="M3" s="1078"/>
      <c r="N3" s="1078"/>
      <c r="O3" s="1079"/>
    </row>
    <row r="4" spans="1:15" ht="12.75" customHeight="1" x14ac:dyDescent="0.2">
      <c r="A4" s="549" t="s">
        <v>339</v>
      </c>
      <c r="B4" s="171"/>
      <c r="C4" s="551"/>
      <c r="D4" s="535"/>
      <c r="E4" s="535"/>
      <c r="F4" s="535"/>
      <c r="G4" s="535"/>
      <c r="H4" s="535"/>
      <c r="I4" s="535"/>
      <c r="J4" s="536"/>
      <c r="O4" s="184"/>
    </row>
    <row r="5" spans="1:15" ht="12.75" customHeight="1" x14ac:dyDescent="0.2">
      <c r="A5" s="776" t="s">
        <v>1447</v>
      </c>
      <c r="B5" s="169"/>
      <c r="C5" s="950"/>
      <c r="D5" s="951"/>
      <c r="E5" s="951"/>
      <c r="F5" s="951"/>
      <c r="G5" s="951"/>
      <c r="H5" s="951"/>
      <c r="I5" s="951"/>
      <c r="J5" s="952"/>
      <c r="K5" s="953">
        <v>282859064</v>
      </c>
      <c r="L5" s="954">
        <v>256723.33</v>
      </c>
      <c r="M5" s="955">
        <v>-346583346.34999996</v>
      </c>
      <c r="N5" s="955">
        <v>228951497.94999999</v>
      </c>
      <c r="O5" s="956">
        <f t="shared" ref="O5:O11" si="0">SUM(K5:N5)</f>
        <v>165483938.93000001</v>
      </c>
    </row>
    <row r="6" spans="1:15" ht="12.75" customHeight="1" x14ac:dyDescent="0.2">
      <c r="A6" s="776"/>
      <c r="B6" s="169"/>
      <c r="C6" s="950"/>
      <c r="D6" s="951"/>
      <c r="E6" s="951"/>
      <c r="F6" s="951"/>
      <c r="G6" s="951"/>
      <c r="H6" s="951"/>
      <c r="I6" s="951"/>
      <c r="J6" s="952"/>
      <c r="K6" s="953"/>
      <c r="L6" s="954"/>
      <c r="M6" s="955"/>
      <c r="N6" s="955"/>
      <c r="O6" s="956">
        <f t="shared" si="0"/>
        <v>0</v>
      </c>
    </row>
    <row r="7" spans="1:15" ht="12.75" customHeight="1" x14ac:dyDescent="0.2">
      <c r="A7" s="776"/>
      <c r="B7" s="169"/>
      <c r="C7" s="950"/>
      <c r="D7" s="951"/>
      <c r="E7" s="951"/>
      <c r="F7" s="951"/>
      <c r="G7" s="951"/>
      <c r="H7" s="951"/>
      <c r="I7" s="951"/>
      <c r="J7" s="952"/>
      <c r="K7" s="953"/>
      <c r="L7" s="954"/>
      <c r="M7" s="955"/>
      <c r="N7" s="955"/>
      <c r="O7" s="956">
        <f t="shared" si="0"/>
        <v>0</v>
      </c>
    </row>
    <row r="8" spans="1:15" ht="12.75" customHeight="1" x14ac:dyDescent="0.2">
      <c r="A8" s="776"/>
      <c r="B8" s="169"/>
      <c r="C8" s="950"/>
      <c r="D8" s="951"/>
      <c r="E8" s="951"/>
      <c r="F8" s="951"/>
      <c r="G8" s="951"/>
      <c r="H8" s="951"/>
      <c r="I8" s="951"/>
      <c r="J8" s="952"/>
      <c r="K8" s="953"/>
      <c r="L8" s="954"/>
      <c r="M8" s="955"/>
      <c r="N8" s="955"/>
      <c r="O8" s="956">
        <f t="shared" si="0"/>
        <v>0</v>
      </c>
    </row>
    <row r="9" spans="1:15" ht="12.75" customHeight="1" x14ac:dyDescent="0.2">
      <c r="A9" s="776"/>
      <c r="B9" s="169"/>
      <c r="C9" s="950"/>
      <c r="D9" s="951"/>
      <c r="E9" s="951"/>
      <c r="F9" s="951"/>
      <c r="G9" s="951"/>
      <c r="H9" s="951"/>
      <c r="I9" s="951"/>
      <c r="J9" s="952"/>
      <c r="K9" s="953"/>
      <c r="L9" s="954"/>
      <c r="M9" s="955"/>
      <c r="N9" s="955"/>
      <c r="O9" s="956">
        <f t="shared" si="0"/>
        <v>0</v>
      </c>
    </row>
    <row r="10" spans="1:15" ht="12.75" customHeight="1" x14ac:dyDescent="0.2">
      <c r="A10" s="776"/>
      <c r="B10" s="169"/>
      <c r="C10" s="950"/>
      <c r="D10" s="951"/>
      <c r="E10" s="951"/>
      <c r="F10" s="951"/>
      <c r="G10" s="951"/>
      <c r="H10" s="951"/>
      <c r="I10" s="951"/>
      <c r="J10" s="952"/>
      <c r="K10" s="953"/>
      <c r="L10" s="954"/>
      <c r="M10" s="955"/>
      <c r="N10" s="955"/>
      <c r="O10" s="956">
        <f t="shared" si="0"/>
        <v>0</v>
      </c>
    </row>
    <row r="11" spans="1:15" ht="12.75" customHeight="1" x14ac:dyDescent="0.2">
      <c r="A11" s="776"/>
      <c r="B11" s="169"/>
      <c r="C11" s="950"/>
      <c r="D11" s="951"/>
      <c r="E11" s="951"/>
      <c r="F11" s="951"/>
      <c r="G11" s="951"/>
      <c r="H11" s="951"/>
      <c r="I11" s="951"/>
      <c r="J11" s="952"/>
      <c r="K11" s="953"/>
      <c r="L11" s="954"/>
      <c r="M11" s="955"/>
      <c r="N11" s="955"/>
      <c r="O11" s="956">
        <f t="shared" si="0"/>
        <v>0</v>
      </c>
    </row>
    <row r="12" spans="1:15" ht="12.75" customHeight="1" x14ac:dyDescent="0.2">
      <c r="A12" s="547" t="s">
        <v>128</v>
      </c>
      <c r="B12" s="169"/>
      <c r="C12" s="969"/>
      <c r="D12" s="957"/>
      <c r="E12" s="957"/>
      <c r="F12" s="957"/>
      <c r="G12" s="957"/>
      <c r="H12" s="957"/>
      <c r="I12" s="957"/>
      <c r="J12" s="958"/>
      <c r="K12" s="959">
        <f>SUM(K5:K11)</f>
        <v>282859064</v>
      </c>
      <c r="L12" s="960"/>
      <c r="M12" s="961">
        <f>SUM(M5:M11)</f>
        <v>-346583346.34999996</v>
      </c>
      <c r="N12" s="961">
        <f>SUM(N5:N11)</f>
        <v>228951497.94999999</v>
      </c>
      <c r="O12" s="962">
        <f>SUM(O5:O11)</f>
        <v>165483938.93000001</v>
      </c>
    </row>
    <row r="13" spans="1:15" ht="3.75" customHeight="1" x14ac:dyDescent="0.2">
      <c r="A13" s="548"/>
      <c r="B13" s="169"/>
      <c r="C13" s="604"/>
      <c r="D13" s="963"/>
      <c r="E13" s="963"/>
      <c r="F13" s="963"/>
      <c r="G13" s="963"/>
      <c r="H13" s="963"/>
      <c r="I13" s="963"/>
      <c r="J13" s="964"/>
      <c r="K13" s="965"/>
      <c r="L13" s="966"/>
      <c r="M13" s="967"/>
      <c r="N13" s="967"/>
      <c r="O13" s="968"/>
    </row>
    <row r="14" spans="1:15" ht="12.75" customHeight="1" x14ac:dyDescent="0.2">
      <c r="A14" s="549" t="s">
        <v>129</v>
      </c>
      <c r="B14" s="169"/>
      <c r="C14" s="604"/>
      <c r="D14" s="963"/>
      <c r="E14" s="963"/>
      <c r="F14" s="963"/>
      <c r="G14" s="963"/>
      <c r="H14" s="963"/>
      <c r="I14" s="963"/>
      <c r="J14" s="964"/>
      <c r="K14" s="965"/>
      <c r="L14" s="966"/>
      <c r="M14" s="967"/>
      <c r="N14" s="967"/>
      <c r="O14" s="968"/>
    </row>
    <row r="15" spans="1:15" ht="12.75" customHeight="1" x14ac:dyDescent="0.2">
      <c r="A15" s="777" t="s">
        <v>1447</v>
      </c>
      <c r="B15" s="169"/>
      <c r="C15" s="950"/>
      <c r="D15" s="951"/>
      <c r="E15" s="951"/>
      <c r="F15" s="951"/>
      <c r="G15" s="951"/>
      <c r="H15" s="951"/>
      <c r="I15" s="951"/>
      <c r="J15" s="952"/>
      <c r="K15" s="953">
        <v>2973969</v>
      </c>
      <c r="L15" s="954">
        <v>4626.0600000000004</v>
      </c>
      <c r="M15" s="955">
        <v>-1161000</v>
      </c>
      <c r="N15" s="955"/>
      <c r="O15" s="956">
        <f t="shared" ref="O15:O21" si="1">SUM(K15:N15)</f>
        <v>1817595.06</v>
      </c>
    </row>
    <row r="16" spans="1:15" ht="12.75" customHeight="1" x14ac:dyDescent="0.2">
      <c r="A16" s="777"/>
      <c r="B16" s="169"/>
      <c r="C16" s="950"/>
      <c r="D16" s="951"/>
      <c r="E16" s="951"/>
      <c r="F16" s="951"/>
      <c r="G16" s="951"/>
      <c r="H16" s="951"/>
      <c r="I16" s="951"/>
      <c r="J16" s="952"/>
      <c r="K16" s="953"/>
      <c r="L16" s="954"/>
      <c r="M16" s="955"/>
      <c r="N16" s="955"/>
      <c r="O16" s="956">
        <f t="shared" si="1"/>
        <v>0</v>
      </c>
    </row>
    <row r="17" spans="1:16" ht="12.75" customHeight="1" x14ac:dyDescent="0.2">
      <c r="A17" s="777"/>
      <c r="B17" s="169"/>
      <c r="C17" s="950"/>
      <c r="D17" s="951"/>
      <c r="E17" s="951"/>
      <c r="F17" s="951"/>
      <c r="G17" s="951"/>
      <c r="H17" s="951"/>
      <c r="I17" s="951"/>
      <c r="J17" s="952"/>
      <c r="K17" s="953"/>
      <c r="L17" s="954"/>
      <c r="M17" s="955"/>
      <c r="N17" s="955"/>
      <c r="O17" s="956">
        <f t="shared" si="1"/>
        <v>0</v>
      </c>
    </row>
    <row r="18" spans="1:16" ht="12.75" customHeight="1" x14ac:dyDescent="0.2">
      <c r="A18" s="777"/>
      <c r="B18" s="169"/>
      <c r="C18" s="950"/>
      <c r="D18" s="951"/>
      <c r="E18" s="951"/>
      <c r="F18" s="951"/>
      <c r="G18" s="951"/>
      <c r="H18" s="951"/>
      <c r="I18" s="951"/>
      <c r="J18" s="952"/>
      <c r="K18" s="953"/>
      <c r="L18" s="954"/>
      <c r="M18" s="955"/>
      <c r="N18" s="955"/>
      <c r="O18" s="956">
        <f t="shared" si="1"/>
        <v>0</v>
      </c>
    </row>
    <row r="19" spans="1:16" ht="12.75" customHeight="1" x14ac:dyDescent="0.2">
      <c r="A19" s="777"/>
      <c r="B19" s="169"/>
      <c r="C19" s="950"/>
      <c r="D19" s="951"/>
      <c r="E19" s="951"/>
      <c r="F19" s="951"/>
      <c r="G19" s="951"/>
      <c r="H19" s="951"/>
      <c r="I19" s="1000"/>
      <c r="J19" s="952"/>
      <c r="K19" s="953"/>
      <c r="L19" s="954"/>
      <c r="M19" s="955"/>
      <c r="N19" s="955"/>
      <c r="O19" s="956">
        <f t="shared" si="1"/>
        <v>0</v>
      </c>
    </row>
    <row r="20" spans="1:16" ht="12.75" customHeight="1" x14ac:dyDescent="0.2">
      <c r="A20" s="777"/>
      <c r="B20" s="169"/>
      <c r="C20" s="950"/>
      <c r="D20" s="951"/>
      <c r="E20" s="951"/>
      <c r="F20" s="951"/>
      <c r="G20" s="951"/>
      <c r="H20" s="951"/>
      <c r="I20" s="951"/>
      <c r="J20" s="952"/>
      <c r="K20" s="953"/>
      <c r="L20" s="954"/>
      <c r="M20" s="955"/>
      <c r="N20" s="955"/>
      <c r="O20" s="956">
        <f t="shared" si="1"/>
        <v>0</v>
      </c>
    </row>
    <row r="21" spans="1:16" ht="12.75" customHeight="1" x14ac:dyDescent="0.2">
      <c r="A21" s="777"/>
      <c r="B21" s="169"/>
      <c r="C21" s="950"/>
      <c r="D21" s="951"/>
      <c r="E21" s="951"/>
      <c r="F21" s="951"/>
      <c r="G21" s="951"/>
      <c r="H21" s="951"/>
      <c r="I21" s="951"/>
      <c r="J21" s="952"/>
      <c r="K21" s="953"/>
      <c r="L21" s="954"/>
      <c r="M21" s="955"/>
      <c r="N21" s="955"/>
      <c r="O21" s="956">
        <f t="shared" si="1"/>
        <v>0</v>
      </c>
    </row>
    <row r="22" spans="1:16" ht="12.75" customHeight="1" x14ac:dyDescent="0.2">
      <c r="A22" s="547" t="s">
        <v>130</v>
      </c>
      <c r="B22" s="169"/>
      <c r="C22" s="969"/>
      <c r="D22" s="957"/>
      <c r="E22" s="957"/>
      <c r="F22" s="957"/>
      <c r="G22" s="957"/>
      <c r="H22" s="957"/>
      <c r="I22" s="957"/>
      <c r="J22" s="958"/>
      <c r="K22" s="959">
        <f>SUM(K15:K21)</f>
        <v>2973969</v>
      </c>
      <c r="L22" s="960"/>
      <c r="M22" s="961">
        <f>SUM(M15:M21)</f>
        <v>-1161000</v>
      </c>
      <c r="N22" s="961">
        <f>SUM(N15:N21)</f>
        <v>0</v>
      </c>
      <c r="O22" s="962">
        <f>SUM(O15:O21)</f>
        <v>1817595.06</v>
      </c>
    </row>
    <row r="23" spans="1:16" ht="3.75" customHeight="1" x14ac:dyDescent="0.2">
      <c r="A23" s="548"/>
      <c r="B23" s="169"/>
      <c r="C23" s="604"/>
      <c r="D23" s="963"/>
      <c r="E23" s="963"/>
      <c r="F23" s="963"/>
      <c r="G23" s="963"/>
      <c r="H23" s="963"/>
      <c r="I23" s="963"/>
      <c r="J23" s="964"/>
      <c r="K23" s="970"/>
      <c r="L23" s="971"/>
      <c r="M23" s="972"/>
      <c r="N23" s="972"/>
      <c r="O23" s="973"/>
    </row>
    <row r="24" spans="1:16" ht="12.75" customHeight="1" x14ac:dyDescent="0.2">
      <c r="A24" s="550" t="s">
        <v>131</v>
      </c>
      <c r="B24" s="236">
        <v>2</v>
      </c>
      <c r="C24" s="974"/>
      <c r="D24" s="975"/>
      <c r="E24" s="975"/>
      <c r="F24" s="975"/>
      <c r="G24" s="975"/>
      <c r="H24" s="975"/>
      <c r="I24" s="975"/>
      <c r="J24" s="976"/>
      <c r="K24" s="977">
        <f>K12+K22</f>
        <v>285833033</v>
      </c>
      <c r="L24" s="978"/>
      <c r="M24" s="979">
        <f>M12+M22</f>
        <v>-347744346.34999996</v>
      </c>
      <c r="N24" s="979">
        <f>N12+N22</f>
        <v>228951497.94999999</v>
      </c>
      <c r="O24" s="980">
        <f>O12+O22</f>
        <v>167301533.99000001</v>
      </c>
    </row>
    <row r="25" spans="1:16" ht="12.75" customHeight="1" x14ac:dyDescent="0.2">
      <c r="A25" s="57" t="str">
        <f>head27a</f>
        <v>References</v>
      </c>
      <c r="B25" s="58"/>
      <c r="C25" s="84"/>
      <c r="D25" s="84"/>
      <c r="E25" s="84"/>
      <c r="F25" s="84"/>
      <c r="G25" s="84"/>
      <c r="H25" s="84"/>
      <c r="I25" s="84"/>
      <c r="J25" s="84"/>
      <c r="N25" s="67"/>
      <c r="O25" s="67"/>
      <c r="P25" s="67"/>
    </row>
    <row r="26" spans="1:16" ht="12.75" customHeight="1" x14ac:dyDescent="0.2">
      <c r="A26" s="584" t="s">
        <v>1366</v>
      </c>
      <c r="B26" s="58"/>
      <c r="C26" s="84"/>
      <c r="D26" s="84"/>
      <c r="E26" s="84"/>
      <c r="F26" s="84"/>
      <c r="G26" s="84"/>
      <c r="H26" s="84"/>
      <c r="I26" s="84"/>
      <c r="J26" s="84"/>
      <c r="N26" s="67"/>
      <c r="O26" s="67"/>
      <c r="P26" s="67"/>
    </row>
    <row r="27" spans="1:16" ht="12.75" customHeight="1" x14ac:dyDescent="0.2">
      <c r="A27" s="584" t="s">
        <v>1367</v>
      </c>
      <c r="B27" s="58"/>
      <c r="C27" s="62"/>
      <c r="D27" s="61"/>
      <c r="E27" s="62"/>
      <c r="F27" s="62"/>
      <c r="G27" s="62"/>
      <c r="H27" s="62"/>
      <c r="I27" s="62"/>
      <c r="J27" s="62"/>
    </row>
    <row r="28" spans="1:16" ht="11.25" customHeight="1" x14ac:dyDescent="0.2">
      <c r="A28" s="584" t="s">
        <v>1368</v>
      </c>
      <c r="B28" s="58"/>
      <c r="C28" s="84"/>
      <c r="D28" s="84"/>
      <c r="E28" s="84"/>
      <c r="F28" s="84"/>
      <c r="G28" s="84"/>
      <c r="H28" s="84"/>
      <c r="I28" s="84"/>
      <c r="J28" s="84"/>
    </row>
    <row r="29" spans="1:16" ht="11.25" customHeight="1" x14ac:dyDescent="0.2"/>
    <row r="30" spans="1:16" ht="11.25" customHeight="1" x14ac:dyDescent="0.2"/>
    <row r="31" spans="1:16" ht="11.25" customHeight="1" x14ac:dyDescent="0.2"/>
    <row r="32" spans="1:16"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5" activePane="bottomRight" state="frozen"/>
      <selection pane="topRight"/>
      <selection pane="bottomLeft"/>
      <selection pane="bottomRight" activeCell="G52" sqref="G52"/>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"&amp;S71L&amp; " - "&amp;Head57</f>
        <v>KZN225 Msunduzi - Supporting Table SC6 Monthly Budget Statement - transfers and grant receipts  - Q1 First Quarter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3"/>
      <c r="E4" s="294"/>
      <c r="F4" s="295"/>
      <c r="G4" s="295"/>
      <c r="H4" s="295"/>
      <c r="I4" s="295"/>
      <c r="J4" s="296" t="s">
        <v>575</v>
      </c>
      <c r="K4" s="297"/>
    </row>
    <row r="5" spans="1:11" ht="12.75" customHeight="1" x14ac:dyDescent="0.2">
      <c r="A5" s="35" t="s">
        <v>973</v>
      </c>
      <c r="B5" s="169" t="s">
        <v>957</v>
      </c>
      <c r="C5" s="52"/>
      <c r="D5" s="300"/>
      <c r="E5" s="301"/>
      <c r="F5" s="301"/>
      <c r="G5" s="301"/>
      <c r="H5" s="301"/>
      <c r="I5" s="301"/>
      <c r="J5" s="301"/>
      <c r="K5" s="302"/>
    </row>
    <row r="6" spans="1:11" ht="5.0999999999999996" customHeight="1" x14ac:dyDescent="0.2">
      <c r="A6" s="35"/>
      <c r="B6" s="169"/>
      <c r="C6" s="52"/>
      <c r="D6" s="300"/>
      <c r="E6" s="301"/>
      <c r="F6" s="301"/>
      <c r="G6" s="301"/>
      <c r="H6" s="301"/>
      <c r="I6" s="301"/>
      <c r="J6" s="301"/>
      <c r="K6" s="302"/>
    </row>
    <row r="7" spans="1:11" ht="12.75" customHeight="1" x14ac:dyDescent="0.2">
      <c r="A7" s="549" t="s">
        <v>61</v>
      </c>
      <c r="B7" s="169"/>
      <c r="C7" s="52"/>
      <c r="D7" s="300"/>
      <c r="E7" s="301"/>
      <c r="F7" s="301"/>
      <c r="G7" s="301"/>
      <c r="H7" s="301"/>
      <c r="I7" s="301"/>
      <c r="J7" s="301"/>
      <c r="K7" s="302"/>
    </row>
    <row r="8" spans="1:11" ht="15.75" customHeight="1" x14ac:dyDescent="0.2">
      <c r="A8" s="106" t="s">
        <v>622</v>
      </c>
      <c r="B8" s="169"/>
      <c r="C8" s="109">
        <f t="shared" ref="C8:I8" si="0">SUM(C9:C16)</f>
        <v>0</v>
      </c>
      <c r="D8" s="51">
        <f t="shared" si="0"/>
        <v>608608575</v>
      </c>
      <c r="E8" s="50">
        <f t="shared" si="0"/>
        <v>0</v>
      </c>
      <c r="F8" s="50">
        <f t="shared" si="0"/>
        <v>0</v>
      </c>
      <c r="G8" s="50">
        <f t="shared" si="0"/>
        <v>271732000</v>
      </c>
      <c r="H8" s="50">
        <f t="shared" si="0"/>
        <v>152152143.75</v>
      </c>
      <c r="I8" s="50">
        <f t="shared" si="0"/>
        <v>119579856.25</v>
      </c>
      <c r="J8" s="343">
        <f>IF(I8=0,"",I8/H8)</f>
        <v>0.78592291441177931</v>
      </c>
      <c r="K8" s="194">
        <f>SUM(K9:K16)</f>
        <v>608608575</v>
      </c>
    </row>
    <row r="9" spans="1:11" ht="12.75" customHeight="1" x14ac:dyDescent="0.2">
      <c r="A9" s="733" t="s">
        <v>986</v>
      </c>
      <c r="B9" s="169"/>
      <c r="C9" s="779"/>
      <c r="D9" s="780">
        <v>593405000</v>
      </c>
      <c r="E9" s="734"/>
      <c r="F9" s="734"/>
      <c r="G9" s="734">
        <v>267032000</v>
      </c>
      <c r="H9" s="733">
        <f>D9/12*3</f>
        <v>148351250</v>
      </c>
      <c r="I9" s="514">
        <f>G9-H9</f>
        <v>118680750</v>
      </c>
      <c r="J9" s="552">
        <f>IF(I9=0,"",I9/H9)</f>
        <v>0.79999831481028982</v>
      </c>
      <c r="K9" s="736">
        <f>D9</f>
        <v>593405000</v>
      </c>
    </row>
    <row r="10" spans="1:11" ht="12.75" customHeight="1" x14ac:dyDescent="0.2">
      <c r="A10" s="733" t="s">
        <v>988</v>
      </c>
      <c r="B10" s="169"/>
      <c r="C10" s="748"/>
      <c r="D10" s="745">
        <v>1700000</v>
      </c>
      <c r="E10" s="733"/>
      <c r="F10" s="733"/>
      <c r="G10" s="733">
        <v>1700000</v>
      </c>
      <c r="H10" s="733">
        <f>D10/12*3</f>
        <v>425000</v>
      </c>
      <c r="I10" s="514">
        <f t="shared" ref="I10:I15" si="1">G10-H10</f>
        <v>1275000</v>
      </c>
      <c r="J10" s="552">
        <f t="shared" ref="J10:J15" si="2">IF(I10=0,"",I10/H10)</f>
        <v>3</v>
      </c>
      <c r="K10" s="735">
        <f>D10</f>
        <v>1700000</v>
      </c>
    </row>
    <row r="11" spans="1:11" ht="12.75" customHeight="1" x14ac:dyDescent="0.2">
      <c r="A11" s="733" t="s">
        <v>566</v>
      </c>
      <c r="B11" s="169"/>
      <c r="C11" s="748"/>
      <c r="D11" s="745"/>
      <c r="E11" s="733"/>
      <c r="F11" s="733"/>
      <c r="G11" s="733"/>
      <c r="H11" s="733"/>
      <c r="I11" s="514">
        <f t="shared" si="1"/>
        <v>0</v>
      </c>
      <c r="J11" s="552" t="str">
        <f t="shared" si="2"/>
        <v/>
      </c>
      <c r="K11" s="735"/>
    </row>
    <row r="12" spans="1:11" ht="12.75" customHeight="1" x14ac:dyDescent="0.2">
      <c r="A12" s="733" t="s">
        <v>995</v>
      </c>
      <c r="B12" s="169"/>
      <c r="C12" s="748"/>
      <c r="D12" s="745">
        <v>4388000</v>
      </c>
      <c r="E12" s="733"/>
      <c r="F12" s="733"/>
      <c r="G12" s="733"/>
      <c r="H12" s="733">
        <f>D12/12*3</f>
        <v>1097000</v>
      </c>
      <c r="I12" s="514">
        <f t="shared" si="1"/>
        <v>-1097000</v>
      </c>
      <c r="J12" s="552">
        <f t="shared" si="2"/>
        <v>-1</v>
      </c>
      <c r="K12" s="735">
        <f>D12</f>
        <v>4388000</v>
      </c>
    </row>
    <row r="13" spans="1:11" ht="12.75" customHeight="1" x14ac:dyDescent="0.2">
      <c r="A13" s="733" t="s">
        <v>989</v>
      </c>
      <c r="B13" s="169"/>
      <c r="C13" s="748"/>
      <c r="D13" s="745"/>
      <c r="E13" s="733"/>
      <c r="F13" s="733"/>
      <c r="G13" s="733"/>
      <c r="H13" s="733"/>
      <c r="I13" s="514">
        <f t="shared" si="1"/>
        <v>0</v>
      </c>
      <c r="J13" s="552" t="str">
        <f t="shared" si="2"/>
        <v/>
      </c>
      <c r="K13" s="735"/>
    </row>
    <row r="14" spans="1:11" ht="12.75" customHeight="1" x14ac:dyDescent="0.2">
      <c r="A14" s="733" t="s">
        <v>1450</v>
      </c>
      <c r="B14" s="169"/>
      <c r="C14" s="748"/>
      <c r="D14" s="745"/>
      <c r="E14" s="733"/>
      <c r="F14" s="733"/>
      <c r="G14" s="733"/>
      <c r="H14" s="733"/>
      <c r="I14" s="514">
        <f t="shared" si="1"/>
        <v>0</v>
      </c>
      <c r="J14" s="552" t="str">
        <f t="shared" si="2"/>
        <v/>
      </c>
      <c r="K14" s="735"/>
    </row>
    <row r="15" spans="1:11" ht="12.75" customHeight="1" x14ac:dyDescent="0.2">
      <c r="A15" s="733" t="s">
        <v>990</v>
      </c>
      <c r="B15" s="169"/>
      <c r="C15" s="748"/>
      <c r="D15" s="745"/>
      <c r="E15" s="733"/>
      <c r="F15" s="733"/>
      <c r="G15" s="733"/>
      <c r="H15" s="733"/>
      <c r="I15" s="514">
        <f t="shared" si="1"/>
        <v>0</v>
      </c>
      <c r="J15" s="552" t="str">
        <f t="shared" si="2"/>
        <v/>
      </c>
      <c r="K15" s="735"/>
    </row>
    <row r="16" spans="1:11" ht="12.75" customHeight="1" x14ac:dyDescent="0.2">
      <c r="A16" s="733" t="s">
        <v>1433</v>
      </c>
      <c r="B16" s="169"/>
      <c r="C16" s="748"/>
      <c r="D16" s="745">
        <v>9115575</v>
      </c>
      <c r="E16" s="733"/>
      <c r="F16" s="733"/>
      <c r="G16" s="733">
        <v>3000000</v>
      </c>
      <c r="H16" s="733">
        <f>D16/12*3</f>
        <v>2278893.75</v>
      </c>
      <c r="I16" s="44">
        <f>G16-H16</f>
        <v>721106.25</v>
      </c>
      <c r="J16" s="124">
        <f>IF(I16=0,"",I16/H16)</f>
        <v>0.31642820118313986</v>
      </c>
      <c r="K16" s="735">
        <f>D16</f>
        <v>9115575</v>
      </c>
    </row>
    <row r="17" spans="1:11" ht="12.75" customHeight="1" x14ac:dyDescent="0.2">
      <c r="A17" s="106" t="s">
        <v>623</v>
      </c>
      <c r="B17" s="169"/>
      <c r="C17" s="516">
        <f t="shared" ref="C17:I17" si="3">SUM(C18:C28)</f>
        <v>0</v>
      </c>
      <c r="D17" s="475">
        <f t="shared" si="3"/>
        <v>66874665</v>
      </c>
      <c r="E17" s="430">
        <f t="shared" si="3"/>
        <v>0</v>
      </c>
      <c r="F17" s="430">
        <f t="shared" si="3"/>
        <v>4215397.12</v>
      </c>
      <c r="G17" s="430">
        <f t="shared" si="3"/>
        <v>11543244.5</v>
      </c>
      <c r="H17" s="430">
        <f t="shared" si="3"/>
        <v>16718666.25</v>
      </c>
      <c r="I17" s="430">
        <f t="shared" si="3"/>
        <v>-5175421.75</v>
      </c>
      <c r="J17" s="553">
        <f>IF(I17=0,"",I17/H17)</f>
        <v>-0.30955948713911313</v>
      </c>
      <c r="K17" s="513">
        <f>SUM(K18:K28)</f>
        <v>66874665</v>
      </c>
    </row>
    <row r="18" spans="1:11" ht="12.75" customHeight="1" x14ac:dyDescent="0.2">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
      <c r="A19" s="1002" t="s">
        <v>1452</v>
      </c>
      <c r="B19" s="169"/>
      <c r="C19" s="748"/>
      <c r="D19" s="745"/>
      <c r="E19" s="733"/>
      <c r="F19" s="733"/>
      <c r="G19" s="733">
        <v>1097000</v>
      </c>
      <c r="H19" s="733"/>
      <c r="I19" s="44">
        <f t="shared" si="4"/>
        <v>1097000</v>
      </c>
      <c r="J19" s="124" t="e">
        <f t="shared" si="5"/>
        <v>#DIV/0!</v>
      </c>
      <c r="K19" s="735"/>
    </row>
    <row r="20" spans="1:11" ht="12.75" customHeight="1" x14ac:dyDescent="0.2">
      <c r="A20" s="1002" t="s">
        <v>771</v>
      </c>
      <c r="B20" s="169"/>
      <c r="C20" s="748"/>
      <c r="D20" s="745"/>
      <c r="E20" s="733"/>
      <c r="F20" s="733"/>
      <c r="G20" s="733"/>
      <c r="H20" s="733"/>
      <c r="I20" s="44">
        <f t="shared" si="4"/>
        <v>0</v>
      </c>
      <c r="J20" s="124" t="str">
        <f t="shared" si="5"/>
        <v/>
      </c>
      <c r="K20" s="735"/>
    </row>
    <row r="21" spans="1:11" ht="12.75" customHeight="1" x14ac:dyDescent="0.2">
      <c r="A21" s="1002" t="s">
        <v>1434</v>
      </c>
      <c r="B21" s="169"/>
      <c r="C21" s="748"/>
      <c r="D21" s="745">
        <v>3603000</v>
      </c>
      <c r="E21" s="733"/>
      <c r="F21" s="733"/>
      <c r="G21" s="733"/>
      <c r="H21" s="733">
        <f t="shared" ref="H21:H24" si="6">D21/12*3</f>
        <v>900750</v>
      </c>
      <c r="I21" s="44">
        <f t="shared" si="4"/>
        <v>-900750</v>
      </c>
      <c r="J21" s="124">
        <f t="shared" si="5"/>
        <v>-1</v>
      </c>
      <c r="K21" s="735">
        <f>D21</f>
        <v>3603000</v>
      </c>
    </row>
    <row r="22" spans="1:11" ht="12.75" customHeight="1" x14ac:dyDescent="0.2">
      <c r="A22" s="1002" t="s">
        <v>1435</v>
      </c>
      <c r="B22" s="169"/>
      <c r="C22" s="748"/>
      <c r="D22" s="745">
        <v>4264000</v>
      </c>
      <c r="E22" s="733"/>
      <c r="F22" s="733"/>
      <c r="G22" s="733"/>
      <c r="H22" s="733">
        <f t="shared" si="6"/>
        <v>1066000</v>
      </c>
      <c r="I22" s="44">
        <f t="shared" si="4"/>
        <v>-1066000</v>
      </c>
      <c r="J22" s="124">
        <f t="shared" si="5"/>
        <v>-1</v>
      </c>
      <c r="K22" s="735">
        <f>D22</f>
        <v>4264000</v>
      </c>
    </row>
    <row r="23" spans="1:11" ht="12.75" customHeight="1" x14ac:dyDescent="0.2">
      <c r="A23" s="1002" t="s">
        <v>1436</v>
      </c>
      <c r="B23" s="169"/>
      <c r="C23" s="748"/>
      <c r="D23" s="745">
        <v>24079242</v>
      </c>
      <c r="E23" s="733"/>
      <c r="F23" s="733"/>
      <c r="G23" s="733"/>
      <c r="H23" s="733">
        <f t="shared" si="6"/>
        <v>6019810.5</v>
      </c>
      <c r="I23" s="44">
        <f t="shared" si="4"/>
        <v>-6019810.5</v>
      </c>
      <c r="J23" s="124">
        <f t="shared" si="5"/>
        <v>-1</v>
      </c>
      <c r="K23" s="735">
        <f>D23</f>
        <v>24079242</v>
      </c>
    </row>
    <row r="24" spans="1:11" ht="12.75" customHeight="1" x14ac:dyDescent="0.2">
      <c r="A24" s="1002" t="s">
        <v>1437</v>
      </c>
      <c r="B24" s="169"/>
      <c r="C24" s="748"/>
      <c r="D24" s="745">
        <v>22740423</v>
      </c>
      <c r="E24" s="733"/>
      <c r="F24" s="733">
        <v>4215397.12</v>
      </c>
      <c r="G24" s="733">
        <v>10446244.5</v>
      </c>
      <c r="H24" s="733">
        <f t="shared" si="6"/>
        <v>5685105.75</v>
      </c>
      <c r="I24" s="44">
        <f t="shared" si="4"/>
        <v>4761138.75</v>
      </c>
      <c r="J24" s="124">
        <f t="shared" si="5"/>
        <v>0.83747584642554806</v>
      </c>
      <c r="K24" s="735">
        <f>D24</f>
        <v>22740423</v>
      </c>
    </row>
    <row r="25" spans="1:11" ht="12.75" customHeight="1" x14ac:dyDescent="0.2">
      <c r="A25" s="1002" t="s">
        <v>1451</v>
      </c>
      <c r="B25" s="169"/>
      <c r="C25" s="748"/>
      <c r="D25" s="745"/>
      <c r="E25" s="733"/>
      <c r="F25" s="733"/>
      <c r="G25" s="733"/>
      <c r="H25" s="733"/>
      <c r="I25" s="44">
        <f t="shared" si="4"/>
        <v>0</v>
      </c>
      <c r="J25" s="124" t="str">
        <f t="shared" si="5"/>
        <v/>
      </c>
      <c r="K25" s="735"/>
    </row>
    <row r="26" spans="1:11" ht="12.75" customHeight="1" x14ac:dyDescent="0.2">
      <c r="A26" s="1002" t="s">
        <v>1438</v>
      </c>
      <c r="B26" s="169">
        <v>4</v>
      </c>
      <c r="C26" s="748"/>
      <c r="D26" s="745">
        <v>10200000</v>
      </c>
      <c r="E26" s="733"/>
      <c r="F26" s="733"/>
      <c r="G26" s="733"/>
      <c r="H26" s="733">
        <f t="shared" ref="H26:H28" si="7">D26/12*3</f>
        <v>2550000</v>
      </c>
      <c r="I26" s="44">
        <f t="shared" ref="I26:I32" si="8">G26-H26</f>
        <v>-2550000</v>
      </c>
      <c r="J26" s="124">
        <f t="shared" ref="J26:J33" si="9">IF(I26=0,"",I26/H26)</f>
        <v>-1</v>
      </c>
      <c r="K26" s="735">
        <f>D26</f>
        <v>10200000</v>
      </c>
    </row>
    <row r="27" spans="1:11" ht="12.75" customHeight="1" x14ac:dyDescent="0.2">
      <c r="A27" s="1002" t="s">
        <v>1439</v>
      </c>
      <c r="B27" s="169"/>
      <c r="C27" s="748"/>
      <c r="D27" s="745">
        <v>488000</v>
      </c>
      <c r="E27" s="733"/>
      <c r="F27" s="733"/>
      <c r="G27" s="733"/>
      <c r="H27" s="733">
        <f t="shared" si="7"/>
        <v>122000</v>
      </c>
      <c r="I27" s="44">
        <f t="shared" si="8"/>
        <v>-122000</v>
      </c>
      <c r="J27" s="124">
        <f t="shared" si="9"/>
        <v>-1</v>
      </c>
      <c r="K27" s="735">
        <f>D27</f>
        <v>488000</v>
      </c>
    </row>
    <row r="28" spans="1:11" ht="12.75" customHeight="1" x14ac:dyDescent="0.2">
      <c r="A28" s="1002" t="s">
        <v>1440</v>
      </c>
      <c r="B28" s="169"/>
      <c r="C28" s="748"/>
      <c r="D28" s="745">
        <v>1500000</v>
      </c>
      <c r="E28" s="733"/>
      <c r="F28" s="733"/>
      <c r="G28" s="733"/>
      <c r="H28" s="733">
        <f t="shared" si="7"/>
        <v>375000</v>
      </c>
      <c r="I28" s="44">
        <f t="shared" si="8"/>
        <v>-375000</v>
      </c>
      <c r="J28" s="124">
        <f t="shared" si="9"/>
        <v>-1</v>
      </c>
      <c r="K28" s="735">
        <f>D28</f>
        <v>1500000</v>
      </c>
    </row>
    <row r="29" spans="1:11" ht="12.75" customHeight="1" x14ac:dyDescent="0.2">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
      <c r="A30" s="781" t="s">
        <v>567</v>
      </c>
      <c r="B30" s="169"/>
      <c r="C30" s="783"/>
      <c r="D30" s="784"/>
      <c r="E30" s="737"/>
      <c r="F30" s="737"/>
      <c r="G30" s="737"/>
      <c r="H30" s="737"/>
      <c r="I30" s="514">
        <f t="shared" si="8"/>
        <v>0</v>
      </c>
      <c r="J30" s="552" t="str">
        <f t="shared" si="9"/>
        <v/>
      </c>
      <c r="K30" s="738"/>
    </row>
    <row r="31" spans="1:11" ht="12.75" customHeight="1" x14ac:dyDescent="0.2">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
      <c r="A32" s="781" t="s">
        <v>567</v>
      </c>
      <c r="B32" s="169"/>
      <c r="C32" s="783"/>
      <c r="D32" s="784"/>
      <c r="E32" s="737"/>
      <c r="F32" s="737"/>
      <c r="G32" s="737"/>
      <c r="H32" s="737"/>
      <c r="I32" s="514">
        <f t="shared" si="8"/>
        <v>0</v>
      </c>
      <c r="J32" s="552" t="str">
        <f t="shared" si="9"/>
        <v/>
      </c>
      <c r="K32" s="738"/>
    </row>
    <row r="33" spans="1:11" ht="12.75" customHeight="1" x14ac:dyDescent="0.2">
      <c r="A33" s="558" t="s">
        <v>62</v>
      </c>
      <c r="B33" s="233">
        <v>5</v>
      </c>
      <c r="C33" s="243">
        <f t="shared" ref="C33:I33" si="12">C8+C17+C29+C31</f>
        <v>0</v>
      </c>
      <c r="D33" s="74">
        <f t="shared" si="12"/>
        <v>675483240</v>
      </c>
      <c r="E33" s="73">
        <f t="shared" si="12"/>
        <v>0</v>
      </c>
      <c r="F33" s="73">
        <f t="shared" si="12"/>
        <v>4215397.12</v>
      </c>
      <c r="G33" s="73">
        <f t="shared" si="12"/>
        <v>283275244.5</v>
      </c>
      <c r="H33" s="73">
        <f t="shared" si="12"/>
        <v>168870810</v>
      </c>
      <c r="I33" s="73">
        <f t="shared" si="12"/>
        <v>114404434.5</v>
      </c>
      <c r="J33" s="304">
        <f t="shared" si="9"/>
        <v>0.67746719814987566</v>
      </c>
      <c r="K33" s="145">
        <f>K8+K17+K29+K31</f>
        <v>675483240</v>
      </c>
    </row>
    <row r="34" spans="1:11" ht="5.0999999999999996" customHeight="1" x14ac:dyDescent="0.2">
      <c r="A34" s="42"/>
      <c r="B34" s="169"/>
      <c r="C34" s="134"/>
      <c r="D34" s="46"/>
      <c r="E34" s="44"/>
      <c r="F34" s="44"/>
      <c r="G34" s="44"/>
      <c r="H34" s="44"/>
      <c r="I34" s="44"/>
      <c r="J34" s="124"/>
      <c r="K34" s="144"/>
    </row>
    <row r="35" spans="1:11" ht="12.75" customHeight="1" x14ac:dyDescent="0.2">
      <c r="A35" s="549" t="s">
        <v>63</v>
      </c>
      <c r="B35" s="169"/>
      <c r="C35" s="134"/>
      <c r="D35" s="46"/>
      <c r="E35" s="44"/>
      <c r="F35" s="44"/>
      <c r="G35" s="44"/>
      <c r="H35" s="44"/>
      <c r="I35" s="44"/>
      <c r="J35" s="124"/>
      <c r="K35" s="144"/>
    </row>
    <row r="36" spans="1:11" ht="18" customHeight="1" x14ac:dyDescent="0.2">
      <c r="A36" s="106" t="str">
        <f>A8</f>
        <v>National Government:</v>
      </c>
      <c r="B36" s="169"/>
      <c r="C36" s="134">
        <f t="shared" ref="C36:I36" si="13">SUM(C37:C44)</f>
        <v>0</v>
      </c>
      <c r="D36" s="46">
        <f t="shared" si="13"/>
        <v>255267424.99999985</v>
      </c>
      <c r="E36" s="44">
        <f t="shared" si="13"/>
        <v>0</v>
      </c>
      <c r="F36" s="44">
        <f t="shared" si="13"/>
        <v>0</v>
      </c>
      <c r="G36" s="44">
        <f t="shared" si="13"/>
        <v>57450000</v>
      </c>
      <c r="H36" s="44">
        <f t="shared" si="13"/>
        <v>63816856.249999963</v>
      </c>
      <c r="I36" s="44">
        <f t="shared" si="13"/>
        <v>-6366856.2499999627</v>
      </c>
      <c r="J36" s="343">
        <f>IF(I36=0,"",I36/H36)</f>
        <v>-9.9767626049425878E-2</v>
      </c>
      <c r="K36" s="144">
        <f>SUM(K37:K44)</f>
        <v>255267424.99999985</v>
      </c>
    </row>
    <row r="37" spans="1:11" ht="12.75" customHeight="1" x14ac:dyDescent="0.2">
      <c r="A37" s="778" t="s">
        <v>1441</v>
      </c>
      <c r="B37" s="169"/>
      <c r="C37" s="779"/>
      <c r="D37" s="780">
        <v>187012424.99999985</v>
      </c>
      <c r="E37" s="734"/>
      <c r="F37" s="734"/>
      <c r="G37" s="734">
        <v>27000000</v>
      </c>
      <c r="H37" s="733">
        <f t="shared" ref="H37" si="14">D37/12*3</f>
        <v>46753106.249999963</v>
      </c>
      <c r="I37" s="514">
        <f>G37-H37</f>
        <v>-19753106.249999963</v>
      </c>
      <c r="J37" s="552">
        <f>IF(I37=0,"",I37/H37)</f>
        <v>-0.42249826448697148</v>
      </c>
      <c r="K37" s="736">
        <f>D37</f>
        <v>187012424.99999985</v>
      </c>
    </row>
    <row r="38" spans="1:11" ht="12.75" customHeight="1" x14ac:dyDescent="0.2">
      <c r="A38" s="778" t="s">
        <v>1453</v>
      </c>
      <c r="B38" s="169"/>
      <c r="C38" s="748"/>
      <c r="D38" s="745"/>
      <c r="E38" s="733"/>
      <c r="F38" s="733"/>
      <c r="G38" s="733"/>
      <c r="H38" s="733"/>
      <c r="I38" s="514">
        <f t="shared" ref="I38:I44" si="15">G38-H38</f>
        <v>0</v>
      </c>
      <c r="J38" s="552" t="str">
        <f t="shared" ref="J38:J44" si="16">IF(I38=0,"",I38/H38)</f>
        <v/>
      </c>
      <c r="K38" s="735"/>
    </row>
    <row r="39" spans="1:11" ht="12.75" customHeight="1" x14ac:dyDescent="0.2">
      <c r="A39" s="778" t="s">
        <v>1001</v>
      </c>
      <c r="B39" s="169"/>
      <c r="C39" s="748"/>
      <c r="D39" s="745">
        <v>35000000</v>
      </c>
      <c r="E39" s="733"/>
      <c r="F39" s="733"/>
      <c r="G39" s="733">
        <v>10450000</v>
      </c>
      <c r="H39" s="733">
        <f t="shared" ref="H39" si="17">D39/12*3</f>
        <v>8750000</v>
      </c>
      <c r="I39" s="514">
        <f t="shared" si="15"/>
        <v>1700000</v>
      </c>
      <c r="J39" s="552">
        <f t="shared" si="16"/>
        <v>0.19428571428571428</v>
      </c>
      <c r="K39" s="735">
        <f>D39</f>
        <v>35000000</v>
      </c>
    </row>
    <row r="40" spans="1:11" ht="12.75" customHeight="1" x14ac:dyDescent="0.2">
      <c r="A40" s="778" t="s">
        <v>1454</v>
      </c>
      <c r="B40" s="169"/>
      <c r="C40" s="748"/>
      <c r="D40" s="745"/>
      <c r="E40" s="733"/>
      <c r="F40" s="733"/>
      <c r="G40" s="733"/>
      <c r="H40" s="733"/>
      <c r="I40" s="514">
        <f t="shared" si="15"/>
        <v>0</v>
      </c>
      <c r="J40" s="552" t="str">
        <f t="shared" si="16"/>
        <v/>
      </c>
      <c r="K40" s="735"/>
    </row>
    <row r="41" spans="1:11" ht="12.75" customHeight="1" x14ac:dyDescent="0.2">
      <c r="A41" s="778" t="s">
        <v>1455</v>
      </c>
      <c r="B41" s="169"/>
      <c r="C41" s="748"/>
      <c r="D41" s="745"/>
      <c r="E41" s="733"/>
      <c r="F41" s="733"/>
      <c r="G41" s="733"/>
      <c r="H41" s="733"/>
      <c r="I41" s="514">
        <f t="shared" si="15"/>
        <v>0</v>
      </c>
      <c r="J41" s="552" t="str">
        <f t="shared" si="16"/>
        <v/>
      </c>
      <c r="K41" s="735"/>
    </row>
    <row r="42" spans="1:11" ht="12.75" customHeight="1" x14ac:dyDescent="0.2">
      <c r="A42" s="778" t="s">
        <v>566</v>
      </c>
      <c r="B42" s="169"/>
      <c r="C42" s="748"/>
      <c r="D42" s="745"/>
      <c r="E42" s="733"/>
      <c r="F42" s="733"/>
      <c r="G42" s="733"/>
      <c r="H42" s="733"/>
      <c r="I42" s="514">
        <f t="shared" si="15"/>
        <v>0</v>
      </c>
      <c r="J42" s="552" t="str">
        <f t="shared" si="16"/>
        <v/>
      </c>
      <c r="K42" s="735"/>
    </row>
    <row r="43" spans="1:11" ht="12.75" customHeight="1" x14ac:dyDescent="0.2">
      <c r="A43" s="778" t="s">
        <v>1442</v>
      </c>
      <c r="B43" s="169"/>
      <c r="C43" s="748"/>
      <c r="D43" s="745">
        <v>33255000</v>
      </c>
      <c r="E43" s="733"/>
      <c r="F43" s="733"/>
      <c r="G43" s="733">
        <v>20000000</v>
      </c>
      <c r="H43" s="733">
        <f t="shared" ref="H43" si="18">D43/12*3</f>
        <v>8313750</v>
      </c>
      <c r="I43" s="514">
        <f t="shared" si="15"/>
        <v>11686250</v>
      </c>
      <c r="J43" s="552">
        <f t="shared" si="16"/>
        <v>1.4056532852202677</v>
      </c>
      <c r="K43" s="735">
        <f>D43</f>
        <v>33255000</v>
      </c>
    </row>
    <row r="44" spans="1:11" ht="12.75" customHeight="1" x14ac:dyDescent="0.2">
      <c r="A44" s="778" t="s">
        <v>1456</v>
      </c>
      <c r="B44" s="169"/>
      <c r="C44" s="748"/>
      <c r="D44" s="745"/>
      <c r="E44" s="733"/>
      <c r="F44" s="733"/>
      <c r="G44" s="733"/>
      <c r="H44" s="733"/>
      <c r="I44" s="514">
        <f t="shared" si="15"/>
        <v>0</v>
      </c>
      <c r="J44" s="552" t="str">
        <f t="shared" si="16"/>
        <v/>
      </c>
      <c r="K44" s="735"/>
    </row>
    <row r="45" spans="1:11" ht="12.75" customHeight="1" x14ac:dyDescent="0.2">
      <c r="A45" s="342" t="str">
        <f>A17</f>
        <v>Provincial Government:</v>
      </c>
      <c r="B45" s="169"/>
      <c r="C45" s="516">
        <f t="shared" ref="C45:H45" si="19">SUM(C46:C56)</f>
        <v>0</v>
      </c>
      <c r="D45" s="475">
        <f t="shared" si="19"/>
        <v>270624156</v>
      </c>
      <c r="E45" s="430">
        <f t="shared" si="19"/>
        <v>0</v>
      </c>
      <c r="F45" s="430">
        <f t="shared" si="19"/>
        <v>0</v>
      </c>
      <c r="G45" s="430">
        <f t="shared" si="19"/>
        <v>0</v>
      </c>
      <c r="H45" s="430">
        <f t="shared" si="19"/>
        <v>67656039</v>
      </c>
      <c r="I45" s="514">
        <f t="shared" ref="I45:I60" si="20">G45-H45</f>
        <v>-67656039</v>
      </c>
      <c r="J45" s="552">
        <f>IF(I45=0,"",I45/H45)</f>
        <v>-1</v>
      </c>
      <c r="K45" s="513">
        <f>SUM(K46:K56)</f>
        <v>270624156</v>
      </c>
    </row>
    <row r="46" spans="1:11" ht="12.75" customHeight="1" x14ac:dyDescent="0.2">
      <c r="A46" s="781" t="s">
        <v>1457</v>
      </c>
      <c r="B46" s="169"/>
      <c r="C46" s="783"/>
      <c r="D46" s="784"/>
      <c r="E46" s="737"/>
      <c r="F46" s="737"/>
      <c r="G46" s="737"/>
      <c r="H46" s="737">
        <f t="shared" ref="H46:H55" si="21">D46/12*2</f>
        <v>0</v>
      </c>
      <c r="I46" s="514">
        <f t="shared" si="20"/>
        <v>0</v>
      </c>
      <c r="J46" s="552" t="str">
        <f t="shared" ref="J46:J55" si="22">IF(I46=0,"",I46/H46)</f>
        <v/>
      </c>
      <c r="K46" s="738"/>
    </row>
    <row r="47" spans="1:11" ht="12.75" customHeight="1" x14ac:dyDescent="0.2">
      <c r="A47" s="785" t="s">
        <v>771</v>
      </c>
      <c r="B47" s="169"/>
      <c r="C47" s="786"/>
      <c r="D47" s="787"/>
      <c r="E47" s="788"/>
      <c r="F47" s="788"/>
      <c r="G47" s="788"/>
      <c r="H47" s="788">
        <f t="shared" si="21"/>
        <v>0</v>
      </c>
      <c r="I47" s="44">
        <f t="shared" si="20"/>
        <v>0</v>
      </c>
      <c r="J47" s="124" t="str">
        <f t="shared" si="22"/>
        <v/>
      </c>
      <c r="K47" s="789"/>
    </row>
    <row r="48" spans="1:11" ht="12.75" customHeight="1" x14ac:dyDescent="0.2">
      <c r="A48" s="785" t="s">
        <v>1458</v>
      </c>
      <c r="B48" s="169"/>
      <c r="C48" s="786"/>
      <c r="D48" s="787"/>
      <c r="E48" s="788"/>
      <c r="F48" s="788"/>
      <c r="G48" s="788"/>
      <c r="H48" s="788">
        <f t="shared" si="21"/>
        <v>0</v>
      </c>
      <c r="I48" s="44">
        <f t="shared" si="20"/>
        <v>0</v>
      </c>
      <c r="J48" s="124" t="str">
        <f t="shared" si="22"/>
        <v/>
      </c>
      <c r="K48" s="789"/>
    </row>
    <row r="49" spans="1:11" ht="12.75" customHeight="1" x14ac:dyDescent="0.2">
      <c r="A49" s="785" t="s">
        <v>1444</v>
      </c>
      <c r="B49" s="169"/>
      <c r="C49" s="786"/>
      <c r="D49" s="733">
        <v>6124156</v>
      </c>
      <c r="E49" s="788"/>
      <c r="F49" s="788"/>
      <c r="G49" s="788"/>
      <c r="H49" s="733">
        <f t="shared" ref="H49:H51" si="23">D49/12*3</f>
        <v>1531039</v>
      </c>
      <c r="I49" s="44">
        <f t="shared" si="20"/>
        <v>-1531039</v>
      </c>
      <c r="J49" s="124">
        <f t="shared" si="22"/>
        <v>-1</v>
      </c>
      <c r="K49" s="733">
        <f>D49</f>
        <v>6124156</v>
      </c>
    </row>
    <row r="50" spans="1:11" ht="12.75" customHeight="1" x14ac:dyDescent="0.2">
      <c r="A50" s="785" t="s">
        <v>1459</v>
      </c>
      <c r="B50" s="169"/>
      <c r="C50" s="786"/>
      <c r="D50" s="733">
        <v>2500000</v>
      </c>
      <c r="E50" s="788"/>
      <c r="F50" s="788"/>
      <c r="G50" s="788"/>
      <c r="H50" s="733">
        <f t="shared" si="23"/>
        <v>625000</v>
      </c>
      <c r="I50" s="44">
        <f t="shared" si="20"/>
        <v>-625000</v>
      </c>
      <c r="J50" s="124">
        <f t="shared" si="22"/>
        <v>-1</v>
      </c>
      <c r="K50" s="733">
        <f t="shared" ref="K50:K56" si="24">D50</f>
        <v>2500000</v>
      </c>
    </row>
    <row r="51" spans="1:11" ht="12.75" customHeight="1" x14ac:dyDescent="0.2">
      <c r="A51" s="785" t="s">
        <v>1439</v>
      </c>
      <c r="B51" s="169"/>
      <c r="C51" s="786"/>
      <c r="D51" s="733">
        <v>774000</v>
      </c>
      <c r="E51" s="788"/>
      <c r="F51" s="788"/>
      <c r="G51" s="788"/>
      <c r="H51" s="733">
        <f t="shared" si="23"/>
        <v>193500</v>
      </c>
      <c r="I51" s="44">
        <f t="shared" si="20"/>
        <v>-193500</v>
      </c>
      <c r="J51" s="124">
        <f t="shared" si="22"/>
        <v>-1</v>
      </c>
      <c r="K51" s="733">
        <f t="shared" si="24"/>
        <v>774000</v>
      </c>
    </row>
    <row r="52" spans="1:11" ht="12.75" customHeight="1" x14ac:dyDescent="0.2">
      <c r="A52" s="785" t="s">
        <v>1440</v>
      </c>
      <c r="B52" s="169"/>
      <c r="C52" s="786"/>
      <c r="D52" s="733"/>
      <c r="E52" s="788"/>
      <c r="F52" s="788"/>
      <c r="G52" s="788"/>
      <c r="H52" s="788">
        <f t="shared" si="21"/>
        <v>0</v>
      </c>
      <c r="I52" s="44">
        <f t="shared" si="20"/>
        <v>0</v>
      </c>
      <c r="J52" s="124" t="str">
        <f t="shared" si="22"/>
        <v/>
      </c>
      <c r="K52" s="733"/>
    </row>
    <row r="53" spans="1:11" ht="12.75" customHeight="1" x14ac:dyDescent="0.2">
      <c r="A53" s="785" t="s">
        <v>1443</v>
      </c>
      <c r="B53" s="169"/>
      <c r="C53" s="786"/>
      <c r="D53" s="733">
        <v>244264000</v>
      </c>
      <c r="E53" s="788"/>
      <c r="F53" s="788"/>
      <c r="G53" s="788"/>
      <c r="H53" s="733">
        <f t="shared" ref="H53:H54" si="25">D53/12*3</f>
        <v>61066000</v>
      </c>
      <c r="I53" s="44">
        <f t="shared" si="20"/>
        <v>-61066000</v>
      </c>
      <c r="J53" s="124">
        <f t="shared" si="22"/>
        <v>-1</v>
      </c>
      <c r="K53" s="733">
        <f t="shared" si="24"/>
        <v>244264000</v>
      </c>
    </row>
    <row r="54" spans="1:11" ht="12.75" customHeight="1" x14ac:dyDescent="0.2">
      <c r="A54" s="785" t="s">
        <v>1445</v>
      </c>
      <c r="B54" s="169"/>
      <c r="C54" s="786"/>
      <c r="D54" s="733">
        <v>6750000</v>
      </c>
      <c r="E54" s="788"/>
      <c r="F54" s="788"/>
      <c r="G54" s="788"/>
      <c r="H54" s="733">
        <f t="shared" si="25"/>
        <v>1687500</v>
      </c>
      <c r="I54" s="44">
        <f t="shared" si="20"/>
        <v>-1687500</v>
      </c>
      <c r="J54" s="124">
        <f t="shared" si="22"/>
        <v>-1</v>
      </c>
      <c r="K54" s="733">
        <f t="shared" si="24"/>
        <v>6750000</v>
      </c>
    </row>
    <row r="55" spans="1:11" ht="12.75" customHeight="1" x14ac:dyDescent="0.2">
      <c r="A55" s="785" t="s">
        <v>623</v>
      </c>
      <c r="B55" s="169"/>
      <c r="C55" s="786"/>
      <c r="D55" s="733"/>
      <c r="E55" s="788"/>
      <c r="F55" s="788"/>
      <c r="G55" s="788"/>
      <c r="H55" s="788">
        <f t="shared" si="21"/>
        <v>0</v>
      </c>
      <c r="I55" s="44">
        <f t="shared" si="20"/>
        <v>0</v>
      </c>
      <c r="J55" s="124" t="str">
        <f t="shared" si="22"/>
        <v/>
      </c>
      <c r="K55" s="733"/>
    </row>
    <row r="56" spans="1:11" ht="12.75" customHeight="1" x14ac:dyDescent="0.2">
      <c r="A56" s="782" t="s">
        <v>1446</v>
      </c>
      <c r="B56" s="169"/>
      <c r="C56" s="748"/>
      <c r="D56" s="745">
        <v>10212000</v>
      </c>
      <c r="E56" s="733"/>
      <c r="F56" s="733"/>
      <c r="G56" s="733"/>
      <c r="H56" s="733">
        <f t="shared" ref="H56" si="26">D56/12*3</f>
        <v>2553000</v>
      </c>
      <c r="I56" s="44">
        <f t="shared" si="20"/>
        <v>-2553000</v>
      </c>
      <c r="J56" s="124">
        <f t="shared" ref="J56:J61" si="27">IF(I56=0,"",I56/H56)</f>
        <v>-1</v>
      </c>
      <c r="K56" s="733">
        <f t="shared" si="24"/>
        <v>10212000</v>
      </c>
    </row>
    <row r="57" spans="1:11" ht="12.75" customHeight="1" x14ac:dyDescent="0.2">
      <c r="A57" s="106" t="str">
        <f>A29</f>
        <v>District Municipality:</v>
      </c>
      <c r="B57" s="169"/>
      <c r="C57" s="516">
        <f t="shared" ref="C57:H57" si="28">SUM(C58:C58)</f>
        <v>0</v>
      </c>
      <c r="D57" s="475">
        <f t="shared" si="28"/>
        <v>0</v>
      </c>
      <c r="E57" s="430">
        <f t="shared" si="28"/>
        <v>0</v>
      </c>
      <c r="F57" s="430">
        <f t="shared" si="28"/>
        <v>0</v>
      </c>
      <c r="G57" s="430">
        <f t="shared" si="28"/>
        <v>0</v>
      </c>
      <c r="H57" s="430">
        <f t="shared" si="28"/>
        <v>0</v>
      </c>
      <c r="I57" s="514">
        <f t="shared" si="20"/>
        <v>0</v>
      </c>
      <c r="J57" s="552" t="str">
        <f t="shared" si="27"/>
        <v/>
      </c>
      <c r="K57" s="513">
        <f>SUM(K58:K58)</f>
        <v>0</v>
      </c>
    </row>
    <row r="58" spans="1:11" ht="12.75" customHeight="1" x14ac:dyDescent="0.2">
      <c r="A58" s="781" t="s">
        <v>567</v>
      </c>
      <c r="B58" s="169"/>
      <c r="C58" s="783"/>
      <c r="D58" s="784"/>
      <c r="E58" s="737"/>
      <c r="F58" s="737"/>
      <c r="G58" s="737"/>
      <c r="H58" s="737"/>
      <c r="I58" s="514">
        <f t="shared" si="20"/>
        <v>0</v>
      </c>
      <c r="J58" s="552" t="str">
        <f t="shared" si="27"/>
        <v/>
      </c>
      <c r="K58" s="738"/>
    </row>
    <row r="59" spans="1:11" ht="12.75" customHeight="1" x14ac:dyDescent="0.2">
      <c r="A59" s="106" t="str">
        <f>A31</f>
        <v>Other grant providers:</v>
      </c>
      <c r="B59" s="169"/>
      <c r="C59" s="516">
        <f t="shared" ref="C59:H59" si="29">SUM(C60:C60)</f>
        <v>0</v>
      </c>
      <c r="D59" s="475">
        <f t="shared" si="29"/>
        <v>0</v>
      </c>
      <c r="E59" s="430">
        <f t="shared" si="29"/>
        <v>0</v>
      </c>
      <c r="F59" s="430">
        <f t="shared" si="29"/>
        <v>0</v>
      </c>
      <c r="G59" s="430">
        <f t="shared" si="29"/>
        <v>0</v>
      </c>
      <c r="H59" s="430">
        <f t="shared" si="29"/>
        <v>0</v>
      </c>
      <c r="I59" s="514">
        <f t="shared" si="20"/>
        <v>0</v>
      </c>
      <c r="J59" s="552" t="str">
        <f t="shared" si="27"/>
        <v/>
      </c>
      <c r="K59" s="513">
        <f>SUM(K60:K60)</f>
        <v>0</v>
      </c>
    </row>
    <row r="60" spans="1:11" ht="12.75" customHeight="1" x14ac:dyDescent="0.2">
      <c r="A60" s="781" t="s">
        <v>567</v>
      </c>
      <c r="B60" s="169"/>
      <c r="C60" s="783"/>
      <c r="D60" s="784"/>
      <c r="E60" s="737"/>
      <c r="F60" s="737"/>
      <c r="G60" s="737"/>
      <c r="H60" s="737"/>
      <c r="I60" s="514">
        <f t="shared" si="20"/>
        <v>0</v>
      </c>
      <c r="J60" s="552" t="str">
        <f t="shared" si="27"/>
        <v/>
      </c>
      <c r="K60" s="738"/>
    </row>
    <row r="61" spans="1:11" ht="12.75" customHeight="1" x14ac:dyDescent="0.2">
      <c r="A61" s="557" t="s">
        <v>64</v>
      </c>
      <c r="B61" s="309">
        <v>5</v>
      </c>
      <c r="C61" s="516">
        <f t="shared" ref="C61:I61" si="30">C36+C45+C57+C59</f>
        <v>0</v>
      </c>
      <c r="D61" s="475">
        <f t="shared" si="30"/>
        <v>525891580.99999988</v>
      </c>
      <c r="E61" s="430">
        <f t="shared" si="30"/>
        <v>0</v>
      </c>
      <c r="F61" s="430">
        <f t="shared" si="30"/>
        <v>0</v>
      </c>
      <c r="G61" s="430">
        <f t="shared" si="30"/>
        <v>57450000</v>
      </c>
      <c r="H61" s="430">
        <f t="shared" si="30"/>
        <v>131472895.24999997</v>
      </c>
      <c r="I61" s="430">
        <f t="shared" si="30"/>
        <v>-74022895.24999997</v>
      </c>
      <c r="J61" s="553">
        <f t="shared" si="27"/>
        <v>-0.56302780211269432</v>
      </c>
      <c r="K61" s="513">
        <f>K36+K45+K57+K59</f>
        <v>525891580.99999988</v>
      </c>
    </row>
    <row r="62" spans="1:11" ht="5.0999999999999996" customHeight="1" x14ac:dyDescent="0.2">
      <c r="A62" s="554"/>
      <c r="B62" s="248"/>
      <c r="C62" s="249"/>
      <c r="D62" s="555"/>
      <c r="E62" s="99"/>
      <c r="F62" s="99"/>
      <c r="G62" s="99"/>
      <c r="H62" s="99"/>
      <c r="I62" s="99"/>
      <c r="J62" s="324"/>
      <c r="K62" s="195"/>
    </row>
    <row r="63" spans="1:11" ht="12.75" customHeight="1" x14ac:dyDescent="0.2">
      <c r="A63" s="556" t="s">
        <v>65</v>
      </c>
      <c r="B63" s="236">
        <v>5</v>
      </c>
      <c r="C63" s="160">
        <f t="shared" ref="C63:I63" si="31">C33+C61</f>
        <v>0</v>
      </c>
      <c r="D63" s="305">
        <f t="shared" si="31"/>
        <v>1201374821</v>
      </c>
      <c r="E63" s="306">
        <f t="shared" si="31"/>
        <v>0</v>
      </c>
      <c r="F63" s="306">
        <f t="shared" si="31"/>
        <v>4215397.12</v>
      </c>
      <c r="G63" s="306">
        <f t="shared" si="31"/>
        <v>340725244.5</v>
      </c>
      <c r="H63" s="306">
        <f t="shared" si="31"/>
        <v>300343705.25</v>
      </c>
      <c r="I63" s="306">
        <f t="shared" si="31"/>
        <v>40381539.25000003</v>
      </c>
      <c r="J63" s="307">
        <f>IF(I63=0,"",I63/H63)</f>
        <v>0.13445109234564198</v>
      </c>
      <c r="K63" s="308">
        <f>K33+K61</f>
        <v>1201374821</v>
      </c>
    </row>
    <row r="64" spans="1:11" ht="12.75" customHeight="1" x14ac:dyDescent="0.2">
      <c r="A64" s="57" t="str">
        <f>head27a</f>
        <v>References</v>
      </c>
      <c r="B64" s="58"/>
      <c r="C64" s="62"/>
      <c r="D64" s="62"/>
      <c r="E64" s="62"/>
      <c r="F64" s="62"/>
      <c r="G64" s="62"/>
      <c r="H64" s="62"/>
      <c r="I64" s="62"/>
      <c r="J64" s="62"/>
      <c r="K64" s="62"/>
    </row>
    <row r="65" spans="1:11" ht="12.75" customHeight="1" x14ac:dyDescent="0.2">
      <c r="A65" s="80" t="s">
        <v>971</v>
      </c>
      <c r="B65" s="58"/>
      <c r="C65" s="62"/>
      <c r="D65" s="62"/>
      <c r="E65" s="62"/>
      <c r="F65" s="62"/>
      <c r="G65" s="62"/>
      <c r="H65" s="62"/>
      <c r="I65" s="62"/>
      <c r="J65" s="62"/>
      <c r="K65" s="62"/>
    </row>
    <row r="66" spans="1:11" ht="12.75" customHeight="1" x14ac:dyDescent="0.2">
      <c r="A66" s="80" t="s">
        <v>923</v>
      </c>
      <c r="B66" s="58"/>
      <c r="C66" s="62"/>
      <c r="D66" s="62"/>
      <c r="E66" s="62"/>
      <c r="F66" s="62"/>
      <c r="G66" s="62"/>
      <c r="H66" s="62"/>
      <c r="I66" s="62"/>
      <c r="J66" s="62"/>
      <c r="K66" s="62"/>
    </row>
    <row r="67" spans="1:11" ht="12.75" customHeight="1" x14ac:dyDescent="0.2">
      <c r="A67" s="80" t="s">
        <v>817</v>
      </c>
      <c r="B67" s="58"/>
      <c r="C67" s="62"/>
      <c r="D67" s="62"/>
      <c r="E67" s="62"/>
      <c r="F67" s="62"/>
      <c r="G67" s="62"/>
      <c r="H67" s="62"/>
      <c r="I67" s="62"/>
      <c r="J67" s="62"/>
      <c r="K67" s="62"/>
    </row>
    <row r="68" spans="1:11" ht="12.75" customHeight="1" x14ac:dyDescent="0.2">
      <c r="A68" s="60" t="s">
        <v>518</v>
      </c>
      <c r="B68" s="58"/>
      <c r="C68" s="62"/>
      <c r="D68" s="62"/>
      <c r="E68" s="62"/>
      <c r="F68" s="62"/>
      <c r="G68" s="62"/>
      <c r="H68" s="62"/>
      <c r="I68" s="62"/>
      <c r="J68" s="62"/>
      <c r="K68" s="62"/>
    </row>
    <row r="69" spans="1:11" ht="12.75" customHeight="1" x14ac:dyDescent="0.2">
      <c r="A69" s="22" t="s">
        <v>602</v>
      </c>
      <c r="B69" s="64"/>
      <c r="C69" s="84"/>
      <c r="D69" s="93"/>
      <c r="E69" s="84"/>
      <c r="F69" s="84"/>
      <c r="G69" s="84"/>
      <c r="H69" s="84"/>
      <c r="I69" s="84"/>
      <c r="J69" s="84"/>
      <c r="K69" s="84"/>
    </row>
    <row r="70" spans="1:11" ht="11.25" customHeight="1" x14ac:dyDescent="0.2">
      <c r="A70" s="183"/>
    </row>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32" activePane="bottomRight" state="frozen"/>
      <selection pane="topRight"/>
      <selection pane="bottomLeft"/>
      <selection pane="bottomRight" activeCell="F41" sqref="F41"/>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"&amp;S71M&amp; " - "&amp;Head57</f>
        <v>KZN225 Msunduzi - Supporting Table SC7(1) Monthly Budget Statement - transfers and grant expenditure  - Q1 First Quarter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8"/>
      <c r="E4" s="294"/>
      <c r="F4" s="295"/>
      <c r="G4" s="295"/>
      <c r="H4" s="295"/>
      <c r="I4" s="295"/>
      <c r="J4" s="296" t="s">
        <v>575</v>
      </c>
      <c r="K4" s="297"/>
    </row>
    <row r="5" spans="1:11" ht="12.75" customHeight="1" x14ac:dyDescent="0.2">
      <c r="A5" s="136" t="s">
        <v>536</v>
      </c>
      <c r="B5" s="309"/>
      <c r="C5" s="134"/>
      <c r="D5" s="46"/>
      <c r="E5" s="44"/>
      <c r="F5" s="44"/>
      <c r="G5" s="44"/>
      <c r="H5" s="44"/>
      <c r="I5" s="44"/>
      <c r="J5" s="124"/>
      <c r="K5" s="144"/>
    </row>
    <row r="6" spans="1:11" ht="5.0999999999999996" customHeight="1" x14ac:dyDescent="0.2">
      <c r="A6" s="35"/>
      <c r="B6" s="169"/>
      <c r="C6" s="134"/>
      <c r="D6" s="46"/>
      <c r="E6" s="44"/>
      <c r="F6" s="44"/>
      <c r="G6" s="44"/>
      <c r="H6" s="44"/>
      <c r="I6" s="44"/>
      <c r="J6" s="124"/>
      <c r="K6" s="144"/>
    </row>
    <row r="7" spans="1:11" ht="12.75" customHeight="1" x14ac:dyDescent="0.2">
      <c r="A7" s="549" t="s">
        <v>57</v>
      </c>
      <c r="B7" s="169"/>
      <c r="C7" s="134"/>
      <c r="D7" s="46"/>
      <c r="E7" s="44"/>
      <c r="F7" s="44"/>
      <c r="G7" s="44"/>
      <c r="H7" s="44"/>
      <c r="I7" s="44"/>
      <c r="J7" s="124"/>
      <c r="K7" s="144"/>
    </row>
    <row r="8" spans="1:11" ht="14.25" customHeight="1" x14ac:dyDescent="0.2">
      <c r="A8" s="106" t="str">
        <f>'SC6'!A8</f>
        <v>National Government:</v>
      </c>
      <c r="B8" s="169"/>
      <c r="C8" s="109">
        <f t="shared" ref="C8:I8" si="0">SUM(C9:C16)</f>
        <v>0</v>
      </c>
      <c r="D8" s="51">
        <f t="shared" si="0"/>
        <v>608608575</v>
      </c>
      <c r="E8" s="50">
        <f t="shared" si="0"/>
        <v>0</v>
      </c>
      <c r="F8" s="50">
        <f t="shared" si="0"/>
        <v>19731954.044000003</v>
      </c>
      <c r="G8" s="50">
        <f t="shared" si="0"/>
        <v>23140246.677000001</v>
      </c>
      <c r="H8" s="50">
        <f t="shared" si="0"/>
        <v>152152143.75</v>
      </c>
      <c r="I8" s="50">
        <f t="shared" si="0"/>
        <v>-129011897.073</v>
      </c>
      <c r="J8" s="343">
        <f t="shared" ref="J8:J33" si="1">IF(I8=0,"",I8/H8)</f>
        <v>-0.84791376508620508</v>
      </c>
      <c r="K8" s="194">
        <f>SUM(K9:K16)</f>
        <v>608608575</v>
      </c>
    </row>
    <row r="9" spans="1:11" x14ac:dyDescent="0.2">
      <c r="A9" s="396" t="s">
        <v>986</v>
      </c>
      <c r="B9" s="169"/>
      <c r="C9" s="779"/>
      <c r="D9" s="780">
        <v>593405000</v>
      </c>
      <c r="E9" s="734"/>
      <c r="F9" s="734"/>
      <c r="G9" s="734"/>
      <c r="H9" s="733">
        <f>D9/12*3</f>
        <v>148351250</v>
      </c>
      <c r="I9" s="514">
        <f>G9-H9</f>
        <v>-148351250</v>
      </c>
      <c r="J9" s="552">
        <f t="shared" si="1"/>
        <v>-1</v>
      </c>
      <c r="K9" s="736">
        <f>D9</f>
        <v>593405000</v>
      </c>
    </row>
    <row r="10" spans="1:11" x14ac:dyDescent="0.2">
      <c r="A10" s="396" t="s">
        <v>988</v>
      </c>
      <c r="B10" s="169"/>
      <c r="C10" s="748"/>
      <c r="D10" s="745">
        <v>1700000</v>
      </c>
      <c r="E10" s="733"/>
      <c r="F10" s="733">
        <v>188588.72000000003</v>
      </c>
      <c r="G10" s="733">
        <v>263925.52</v>
      </c>
      <c r="H10" s="733">
        <f>D10/12*3</f>
        <v>425000</v>
      </c>
      <c r="I10" s="514">
        <f t="shared" ref="I10:I16" si="2">G10-H10</f>
        <v>-161074.47999999998</v>
      </c>
      <c r="J10" s="552">
        <f t="shared" ref="J10:J16" si="3">IF(I10=0,"",I10/H10)</f>
        <v>-0.37899877647058822</v>
      </c>
      <c r="K10" s="736">
        <f t="shared" ref="K10:K16" si="4">D10</f>
        <v>1700000</v>
      </c>
    </row>
    <row r="11" spans="1:11" x14ac:dyDescent="0.2">
      <c r="A11" s="396" t="s">
        <v>566</v>
      </c>
      <c r="B11" s="169"/>
      <c r="C11" s="748"/>
      <c r="D11" s="745"/>
      <c r="E11" s="733"/>
      <c r="F11" s="733"/>
      <c r="G11" s="733"/>
      <c r="H11" s="733"/>
      <c r="I11" s="514">
        <f t="shared" si="2"/>
        <v>0</v>
      </c>
      <c r="J11" s="552" t="str">
        <f t="shared" si="3"/>
        <v/>
      </c>
      <c r="K11" s="736"/>
    </row>
    <row r="12" spans="1:11" x14ac:dyDescent="0.2">
      <c r="A12" s="396" t="s">
        <v>995</v>
      </c>
      <c r="B12" s="169"/>
      <c r="C12" s="748"/>
      <c r="D12" s="745">
        <v>4388000</v>
      </c>
      <c r="E12" s="733"/>
      <c r="F12" s="733">
        <v>4414685.6399999997</v>
      </c>
      <c r="G12" s="733">
        <v>4414685.6399999997</v>
      </c>
      <c r="H12" s="733">
        <f>D12/12*3</f>
        <v>1097000</v>
      </c>
      <c r="I12" s="514">
        <f t="shared" si="2"/>
        <v>3317685.6399999997</v>
      </c>
      <c r="J12" s="552">
        <f t="shared" si="3"/>
        <v>3.0243260164083861</v>
      </c>
      <c r="K12" s="736">
        <f t="shared" si="4"/>
        <v>4388000</v>
      </c>
    </row>
    <row r="13" spans="1:11" ht="12.75" customHeight="1" x14ac:dyDescent="0.2">
      <c r="A13" s="396" t="s">
        <v>989</v>
      </c>
      <c r="B13" s="169"/>
      <c r="C13" s="748"/>
      <c r="D13" s="745"/>
      <c r="E13" s="733"/>
      <c r="F13" s="733"/>
      <c r="G13" s="733"/>
      <c r="H13" s="733"/>
      <c r="I13" s="514">
        <f t="shared" si="2"/>
        <v>0</v>
      </c>
      <c r="J13" s="552" t="str">
        <f t="shared" si="3"/>
        <v/>
      </c>
      <c r="K13" s="736"/>
    </row>
    <row r="14" spans="1:11" ht="12.75" customHeight="1" x14ac:dyDescent="0.2">
      <c r="A14" s="396" t="s">
        <v>1450</v>
      </c>
      <c r="B14" s="169"/>
      <c r="C14" s="748"/>
      <c r="D14" s="745"/>
      <c r="E14" s="733"/>
      <c r="F14" s="733">
        <v>13949849.810000001</v>
      </c>
      <c r="G14" s="733">
        <v>14812467.460000001</v>
      </c>
      <c r="H14" s="733"/>
      <c r="I14" s="514">
        <f t="shared" si="2"/>
        <v>14812467.460000001</v>
      </c>
      <c r="J14" s="552" t="e">
        <f t="shared" si="3"/>
        <v>#DIV/0!</v>
      </c>
      <c r="K14" s="736"/>
    </row>
    <row r="15" spans="1:11" ht="12.75" customHeight="1" x14ac:dyDescent="0.2">
      <c r="A15" s="396" t="s">
        <v>990</v>
      </c>
      <c r="B15" s="169"/>
      <c r="C15" s="748"/>
      <c r="D15" s="745"/>
      <c r="E15" s="733"/>
      <c r="F15" s="733"/>
      <c r="G15" s="733"/>
      <c r="H15" s="733"/>
      <c r="I15" s="514">
        <f t="shared" si="2"/>
        <v>0</v>
      </c>
      <c r="J15" s="552" t="str">
        <f t="shared" si="3"/>
        <v/>
      </c>
      <c r="K15" s="736"/>
    </row>
    <row r="16" spans="1:11" ht="12.75" customHeight="1" x14ac:dyDescent="0.2">
      <c r="A16" s="396" t="s">
        <v>1433</v>
      </c>
      <c r="B16" s="169"/>
      <c r="C16" s="748"/>
      <c r="D16" s="745">
        <v>9115575</v>
      </c>
      <c r="E16" s="733"/>
      <c r="F16" s="733">
        <v>1178829.8740000003</v>
      </c>
      <c r="G16" s="733">
        <v>3649168.057</v>
      </c>
      <c r="H16" s="733">
        <f>D16/12*3</f>
        <v>2278893.75</v>
      </c>
      <c r="I16" s="514">
        <f t="shared" si="2"/>
        <v>1370274.307</v>
      </c>
      <c r="J16" s="552">
        <f t="shared" si="3"/>
        <v>0.60128924703049458</v>
      </c>
      <c r="K16" s="736">
        <f t="shared" si="4"/>
        <v>9115575</v>
      </c>
    </row>
    <row r="17" spans="1:11" ht="12.75" customHeight="1" x14ac:dyDescent="0.2">
      <c r="A17" s="397" t="str">
        <f>'SC6'!A17</f>
        <v>Provincial Government:</v>
      </c>
      <c r="B17" s="169"/>
      <c r="C17" s="516">
        <f t="shared" ref="C17:I17" si="5">SUM(C18:C28)</f>
        <v>0</v>
      </c>
      <c r="D17" s="475">
        <f t="shared" si="5"/>
        <v>66874665</v>
      </c>
      <c r="E17" s="430">
        <f t="shared" si="5"/>
        <v>0</v>
      </c>
      <c r="F17" s="430">
        <f t="shared" si="5"/>
        <v>16667891.609999999</v>
      </c>
      <c r="G17" s="430">
        <f t="shared" si="5"/>
        <v>22493559.09</v>
      </c>
      <c r="H17" s="430">
        <f t="shared" si="5"/>
        <v>16718666.25</v>
      </c>
      <c r="I17" s="430">
        <f t="shared" si="5"/>
        <v>5774892.8400000008</v>
      </c>
      <c r="J17" s="553">
        <f t="shared" si="1"/>
        <v>0.34541588148516339</v>
      </c>
      <c r="K17" s="513">
        <f>SUM(K18:K28)</f>
        <v>66874665</v>
      </c>
    </row>
    <row r="18" spans="1:11" ht="12.75" customHeight="1" x14ac:dyDescent="0.2">
      <c r="A18" s="396" t="s">
        <v>623</v>
      </c>
      <c r="B18" s="169"/>
      <c r="C18" s="779"/>
      <c r="D18" s="780"/>
      <c r="E18" s="734"/>
      <c r="F18" s="734"/>
      <c r="G18" s="734"/>
      <c r="H18" s="734"/>
      <c r="I18" s="514">
        <f t="shared" ref="I18:I28" si="6">G18-H18</f>
        <v>0</v>
      </c>
      <c r="J18" s="552" t="str">
        <f t="shared" si="1"/>
        <v/>
      </c>
      <c r="K18" s="736"/>
    </row>
    <row r="19" spans="1:11" ht="12.75" customHeight="1" x14ac:dyDescent="0.2">
      <c r="A19" s="396" t="s">
        <v>1452</v>
      </c>
      <c r="B19" s="169"/>
      <c r="C19" s="748"/>
      <c r="D19" s="745"/>
      <c r="E19" s="733"/>
      <c r="F19" s="733"/>
      <c r="G19" s="733"/>
      <c r="H19" s="733"/>
      <c r="I19" s="44">
        <f t="shared" si="6"/>
        <v>0</v>
      </c>
      <c r="J19" s="124" t="str">
        <f t="shared" si="1"/>
        <v/>
      </c>
      <c r="K19" s="735"/>
    </row>
    <row r="20" spans="1:11" ht="12.75" customHeight="1" x14ac:dyDescent="0.2">
      <c r="A20" s="396" t="s">
        <v>771</v>
      </c>
      <c r="B20" s="169"/>
      <c r="C20" s="748"/>
      <c r="D20" s="745"/>
      <c r="E20" s="733"/>
      <c r="F20" s="733"/>
      <c r="G20" s="733"/>
      <c r="H20" s="733"/>
      <c r="I20" s="44">
        <f t="shared" si="6"/>
        <v>0</v>
      </c>
      <c r="J20" s="124" t="str">
        <f t="shared" si="1"/>
        <v/>
      </c>
      <c r="K20" s="735"/>
    </row>
    <row r="21" spans="1:11" ht="12.75" customHeight="1" x14ac:dyDescent="0.2">
      <c r="A21" s="396" t="s">
        <v>1434</v>
      </c>
      <c r="B21" s="169"/>
      <c r="C21" s="748"/>
      <c r="D21" s="745">
        <v>3603000</v>
      </c>
      <c r="E21" s="733"/>
      <c r="F21" s="733"/>
      <c r="G21" s="733"/>
      <c r="H21" s="733">
        <f t="shared" ref="H21:H24" si="7">D21/12*3</f>
        <v>900750</v>
      </c>
      <c r="I21" s="44">
        <f t="shared" si="6"/>
        <v>-900750</v>
      </c>
      <c r="J21" s="124">
        <f t="shared" si="1"/>
        <v>-1</v>
      </c>
      <c r="K21" s="735">
        <f t="shared" ref="K21:K28" si="8">D21</f>
        <v>3603000</v>
      </c>
    </row>
    <row r="22" spans="1:11" ht="12.75" customHeight="1" x14ac:dyDescent="0.2">
      <c r="A22" s="396" t="s">
        <v>1435</v>
      </c>
      <c r="B22" s="169"/>
      <c r="C22" s="748"/>
      <c r="D22" s="745">
        <v>4264000</v>
      </c>
      <c r="E22" s="733"/>
      <c r="F22" s="733"/>
      <c r="G22" s="733"/>
      <c r="H22" s="733">
        <f t="shared" si="7"/>
        <v>1066000</v>
      </c>
      <c r="I22" s="44">
        <f t="shared" si="6"/>
        <v>-1066000</v>
      </c>
      <c r="J22" s="124">
        <f t="shared" si="1"/>
        <v>-1</v>
      </c>
      <c r="K22" s="735">
        <f t="shared" si="8"/>
        <v>4264000</v>
      </c>
    </row>
    <row r="23" spans="1:11" ht="12.75" customHeight="1" x14ac:dyDescent="0.2">
      <c r="A23" s="396" t="s">
        <v>1436</v>
      </c>
      <c r="B23" s="169"/>
      <c r="C23" s="748"/>
      <c r="D23" s="745">
        <v>24079242</v>
      </c>
      <c r="E23" s="733"/>
      <c r="F23" s="733"/>
      <c r="G23" s="733"/>
      <c r="H23" s="733">
        <f t="shared" si="7"/>
        <v>6019810.5</v>
      </c>
      <c r="I23" s="44">
        <f t="shared" si="6"/>
        <v>-6019810.5</v>
      </c>
      <c r="J23" s="124">
        <f t="shared" si="1"/>
        <v>-1</v>
      </c>
      <c r="K23" s="735">
        <f t="shared" si="8"/>
        <v>24079242</v>
      </c>
    </row>
    <row r="24" spans="1:11" ht="12.75" customHeight="1" x14ac:dyDescent="0.2">
      <c r="A24" s="396" t="s">
        <v>1437</v>
      </c>
      <c r="B24" s="169"/>
      <c r="C24" s="748"/>
      <c r="D24" s="745">
        <v>22740423</v>
      </c>
      <c r="E24" s="733"/>
      <c r="F24" s="733">
        <v>11857888.950000001</v>
      </c>
      <c r="G24" s="733">
        <v>17276017.100000001</v>
      </c>
      <c r="H24" s="733">
        <f t="shared" si="7"/>
        <v>5685105.75</v>
      </c>
      <c r="I24" s="44">
        <f t="shared" si="6"/>
        <v>11590911.350000001</v>
      </c>
      <c r="J24" s="124">
        <f t="shared" si="1"/>
        <v>2.0388207114704948</v>
      </c>
      <c r="K24" s="735">
        <f t="shared" si="8"/>
        <v>22740423</v>
      </c>
    </row>
    <row r="25" spans="1:11" ht="12.75" customHeight="1" x14ac:dyDescent="0.2">
      <c r="A25" s="396" t="s">
        <v>1451</v>
      </c>
      <c r="B25" s="169"/>
      <c r="C25" s="748"/>
      <c r="D25" s="745"/>
      <c r="E25" s="733"/>
      <c r="F25" s="733">
        <v>4902191.459999999</v>
      </c>
      <c r="G25" s="733">
        <v>6412709.1899999995</v>
      </c>
      <c r="H25" s="733"/>
      <c r="I25" s="44">
        <f t="shared" si="6"/>
        <v>6412709.1899999995</v>
      </c>
      <c r="J25" s="124" t="e">
        <f t="shared" si="1"/>
        <v>#DIV/0!</v>
      </c>
      <c r="K25" s="735"/>
    </row>
    <row r="26" spans="1:11" ht="12.75" customHeight="1" x14ac:dyDescent="0.2">
      <c r="A26" s="396" t="s">
        <v>1438</v>
      </c>
      <c r="B26" s="169"/>
      <c r="C26" s="748"/>
      <c r="D26" s="745">
        <v>10200000</v>
      </c>
      <c r="E26" s="733"/>
      <c r="F26" s="733">
        <v>20355</v>
      </c>
      <c r="G26" s="733"/>
      <c r="H26" s="733">
        <f>D26/12*3</f>
        <v>2550000</v>
      </c>
      <c r="I26" s="44">
        <f t="shared" si="6"/>
        <v>-2550000</v>
      </c>
      <c r="J26" s="124">
        <f t="shared" si="1"/>
        <v>-1</v>
      </c>
      <c r="K26" s="735">
        <f t="shared" si="8"/>
        <v>10200000</v>
      </c>
    </row>
    <row r="27" spans="1:11" ht="12.75" customHeight="1" x14ac:dyDescent="0.2">
      <c r="A27" s="396" t="s">
        <v>1439</v>
      </c>
      <c r="B27" s="169"/>
      <c r="C27" s="748"/>
      <c r="D27" s="745">
        <v>488000</v>
      </c>
      <c r="E27" s="733"/>
      <c r="F27" s="733"/>
      <c r="G27" s="733"/>
      <c r="H27" s="733">
        <f t="shared" ref="H27:H28" si="9">D27/12*3</f>
        <v>122000</v>
      </c>
      <c r="I27" s="44">
        <f t="shared" si="6"/>
        <v>-122000</v>
      </c>
      <c r="J27" s="124">
        <f t="shared" si="1"/>
        <v>-1</v>
      </c>
      <c r="K27" s="735">
        <f t="shared" si="8"/>
        <v>488000</v>
      </c>
    </row>
    <row r="28" spans="1:11" ht="12.75" customHeight="1" x14ac:dyDescent="0.2">
      <c r="A28" s="396" t="s">
        <v>1440</v>
      </c>
      <c r="B28" s="169"/>
      <c r="C28" s="748"/>
      <c r="D28" s="745">
        <v>1500000</v>
      </c>
      <c r="E28" s="733"/>
      <c r="F28" s="733">
        <v>-112543.80000000005</v>
      </c>
      <c r="G28" s="733">
        <v>-1195167.2</v>
      </c>
      <c r="H28" s="733">
        <f t="shared" si="9"/>
        <v>375000</v>
      </c>
      <c r="I28" s="44">
        <f t="shared" si="6"/>
        <v>-1570167.2</v>
      </c>
      <c r="J28" s="124">
        <f t="shared" si="1"/>
        <v>-4.187112533333333</v>
      </c>
      <c r="K28" s="735">
        <f t="shared" si="8"/>
        <v>1500000</v>
      </c>
    </row>
    <row r="29" spans="1:11" ht="12.75" customHeight="1" x14ac:dyDescent="0.2">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
      <c r="A30" s="398" t="str">
        <f>'SC6'!A30</f>
        <v>[insert description]</v>
      </c>
      <c r="B30" s="169"/>
      <c r="C30" s="748"/>
      <c r="D30" s="745"/>
      <c r="E30" s="733"/>
      <c r="F30" s="733"/>
      <c r="G30" s="733"/>
      <c r="H30" s="733"/>
      <c r="I30" s="44">
        <f>G30-H30</f>
        <v>0</v>
      </c>
      <c r="J30" s="124" t="str">
        <f t="shared" si="1"/>
        <v/>
      </c>
      <c r="K30" s="735"/>
    </row>
    <row r="31" spans="1:11" ht="12.75" customHeight="1" x14ac:dyDescent="0.2">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
      <c r="A32" s="398" t="str">
        <f>'SC6'!A32</f>
        <v>[insert description]</v>
      </c>
      <c r="B32" s="169"/>
      <c r="C32" s="748"/>
      <c r="D32" s="745"/>
      <c r="E32" s="733"/>
      <c r="F32" s="733"/>
      <c r="G32" s="733"/>
      <c r="H32" s="733"/>
      <c r="I32" s="44">
        <f>G32-H32</f>
        <v>0</v>
      </c>
      <c r="J32" s="124" t="str">
        <f t="shared" si="1"/>
        <v/>
      </c>
      <c r="K32" s="735"/>
    </row>
    <row r="33" spans="1:11" ht="12.75" customHeight="1" x14ac:dyDescent="0.2">
      <c r="A33" s="558" t="s">
        <v>58</v>
      </c>
      <c r="B33" s="233"/>
      <c r="C33" s="243">
        <f t="shared" ref="C33:I33" si="12">C8+C17+C29+C31</f>
        <v>0</v>
      </c>
      <c r="D33" s="74">
        <f t="shared" si="12"/>
        <v>675483240</v>
      </c>
      <c r="E33" s="73">
        <f t="shared" si="12"/>
        <v>0</v>
      </c>
      <c r="F33" s="73">
        <f t="shared" si="12"/>
        <v>36399845.653999999</v>
      </c>
      <c r="G33" s="73">
        <f t="shared" si="12"/>
        <v>45633805.767000005</v>
      </c>
      <c r="H33" s="73">
        <f t="shared" si="12"/>
        <v>168870810</v>
      </c>
      <c r="I33" s="73">
        <f t="shared" si="12"/>
        <v>-123237004.233</v>
      </c>
      <c r="J33" s="304">
        <f t="shared" si="1"/>
        <v>-0.72977090731666416</v>
      </c>
      <c r="K33" s="145">
        <f>K8+K17+K29+K31</f>
        <v>675483240</v>
      </c>
    </row>
    <row r="34" spans="1:11" ht="5.0999999999999996" customHeight="1" x14ac:dyDescent="0.2">
      <c r="A34" s="42"/>
      <c r="B34" s="169"/>
      <c r="C34" s="134"/>
      <c r="D34" s="46"/>
      <c r="E34" s="44"/>
      <c r="F34" s="44"/>
      <c r="G34" s="44"/>
      <c r="H34" s="44"/>
      <c r="I34" s="44"/>
      <c r="J34" s="124"/>
      <c r="K34" s="144"/>
    </row>
    <row r="35" spans="1:11" ht="12.75" customHeight="1" x14ac:dyDescent="0.2">
      <c r="A35" s="549" t="s">
        <v>59</v>
      </c>
      <c r="B35" s="169"/>
      <c r="C35" s="134"/>
      <c r="D35" s="46"/>
      <c r="E35" s="44"/>
      <c r="F35" s="44"/>
      <c r="G35" s="44"/>
      <c r="H35" s="44"/>
      <c r="I35" s="44"/>
      <c r="J35" s="124"/>
      <c r="K35" s="144"/>
    </row>
    <row r="36" spans="1:11" ht="13.5" customHeight="1" x14ac:dyDescent="0.2">
      <c r="A36" s="342" t="str">
        <f>'SC6'!A36</f>
        <v>National Government:</v>
      </c>
      <c r="B36" s="169"/>
      <c r="C36" s="134">
        <f t="shared" ref="C36:K36" si="13">SUM(C37:C44)</f>
        <v>0</v>
      </c>
      <c r="D36" s="46">
        <f t="shared" si="13"/>
        <v>255267424.99999985</v>
      </c>
      <c r="E36" s="44">
        <f t="shared" si="13"/>
        <v>0</v>
      </c>
      <c r="F36" s="44">
        <f t="shared" si="13"/>
        <v>10609468.866000002</v>
      </c>
      <c r="G36" s="44">
        <f t="shared" si="13"/>
        <v>32842512.513</v>
      </c>
      <c r="H36" s="44">
        <f t="shared" si="13"/>
        <v>63816856.249999963</v>
      </c>
      <c r="I36" s="44">
        <f t="shared" si="13"/>
        <v>-30974343.736999962</v>
      </c>
      <c r="J36" s="343">
        <f>IF(I36=0,"",I36/H36)</f>
        <v>-0.48536304602124586</v>
      </c>
      <c r="K36" s="144">
        <f t="shared" si="13"/>
        <v>255267424.99999985</v>
      </c>
    </row>
    <row r="37" spans="1:11" ht="12.75" customHeight="1" x14ac:dyDescent="0.2">
      <c r="A37" s="396" t="s">
        <v>1441</v>
      </c>
      <c r="B37" s="169"/>
      <c r="C37" s="779"/>
      <c r="D37" s="780">
        <v>187012424.99999985</v>
      </c>
      <c r="E37" s="734"/>
      <c r="F37" s="734">
        <v>10609468.866000002</v>
      </c>
      <c r="G37" s="734">
        <v>32842512.513</v>
      </c>
      <c r="H37" s="734">
        <f t="shared" ref="H37" si="14">D37/12*3</f>
        <v>46753106.249999963</v>
      </c>
      <c r="I37" s="514">
        <f>G37-H37</f>
        <v>-13910593.736999962</v>
      </c>
      <c r="J37" s="552">
        <f>IF(I37=0,"",I37/H37)</f>
        <v>-0.29753303796793124</v>
      </c>
      <c r="K37" s="736">
        <f>D37</f>
        <v>187012424.99999985</v>
      </c>
    </row>
    <row r="38" spans="1:11" ht="12" customHeight="1" x14ac:dyDescent="0.2">
      <c r="A38" s="396" t="s">
        <v>1453</v>
      </c>
      <c r="B38" s="169"/>
      <c r="C38" s="748"/>
      <c r="D38" s="745"/>
      <c r="E38" s="733"/>
      <c r="F38" s="733"/>
      <c r="G38" s="733"/>
      <c r="H38" s="733"/>
      <c r="I38" s="44">
        <f t="shared" ref="I38:I44" si="15">G38-H38</f>
        <v>0</v>
      </c>
      <c r="J38" s="124" t="str">
        <f t="shared" ref="J38:J44" si="16">IF(I38=0,"",I38/H38)</f>
        <v/>
      </c>
      <c r="K38" s="736"/>
    </row>
    <row r="39" spans="1:11" ht="12" customHeight="1" x14ac:dyDescent="0.2">
      <c r="A39" s="396" t="s">
        <v>1001</v>
      </c>
      <c r="B39" s="169"/>
      <c r="C39" s="748"/>
      <c r="D39" s="745">
        <v>35000000</v>
      </c>
      <c r="E39" s="733"/>
      <c r="F39" s="733"/>
      <c r="G39" s="733"/>
      <c r="H39" s="733">
        <f t="shared" ref="H39" si="17">D39/12*3</f>
        <v>8750000</v>
      </c>
      <c r="I39" s="44">
        <f t="shared" si="15"/>
        <v>-8750000</v>
      </c>
      <c r="J39" s="124">
        <f t="shared" si="16"/>
        <v>-1</v>
      </c>
      <c r="K39" s="736">
        <f>D39</f>
        <v>35000000</v>
      </c>
    </row>
    <row r="40" spans="1:11" ht="12" customHeight="1" x14ac:dyDescent="0.2">
      <c r="A40" s="396" t="s">
        <v>1454</v>
      </c>
      <c r="B40" s="169"/>
      <c r="C40" s="748"/>
      <c r="D40" s="745"/>
      <c r="E40" s="733"/>
      <c r="F40" s="733"/>
      <c r="G40" s="733"/>
      <c r="H40" s="733"/>
      <c r="I40" s="44">
        <f t="shared" si="15"/>
        <v>0</v>
      </c>
      <c r="J40" s="124" t="str">
        <f t="shared" si="16"/>
        <v/>
      </c>
      <c r="K40" s="736"/>
    </row>
    <row r="41" spans="1:11" ht="12.75" customHeight="1" x14ac:dyDescent="0.2">
      <c r="A41" s="396" t="s">
        <v>1455</v>
      </c>
      <c r="B41" s="169"/>
      <c r="C41" s="748"/>
      <c r="D41" s="745"/>
      <c r="E41" s="733"/>
      <c r="F41" s="733"/>
      <c r="G41" s="733"/>
      <c r="H41" s="733"/>
      <c r="I41" s="44">
        <f t="shared" si="15"/>
        <v>0</v>
      </c>
      <c r="J41" s="124" t="str">
        <f t="shared" si="16"/>
        <v/>
      </c>
      <c r="K41" s="736"/>
    </row>
    <row r="42" spans="1:11" ht="12.75" customHeight="1" x14ac:dyDescent="0.2">
      <c r="A42" s="396" t="s">
        <v>566</v>
      </c>
      <c r="B42" s="169"/>
      <c r="C42" s="748"/>
      <c r="D42" s="745"/>
      <c r="E42" s="733"/>
      <c r="F42" s="733"/>
      <c r="G42" s="733"/>
      <c r="H42" s="733"/>
      <c r="I42" s="44">
        <f t="shared" si="15"/>
        <v>0</v>
      </c>
      <c r="J42" s="124" t="str">
        <f t="shared" si="16"/>
        <v/>
      </c>
      <c r="K42" s="736"/>
    </row>
    <row r="43" spans="1:11" ht="12.75" customHeight="1" x14ac:dyDescent="0.2">
      <c r="A43" s="396" t="s">
        <v>1442</v>
      </c>
      <c r="B43" s="169"/>
      <c r="C43" s="748"/>
      <c r="D43" s="745">
        <v>33255000</v>
      </c>
      <c r="E43" s="733"/>
      <c r="F43" s="733"/>
      <c r="G43" s="733"/>
      <c r="H43" s="733">
        <f t="shared" ref="H43" si="18">D43/12*3</f>
        <v>8313750</v>
      </c>
      <c r="I43" s="44">
        <f t="shared" si="15"/>
        <v>-8313750</v>
      </c>
      <c r="J43" s="124">
        <f t="shared" si="16"/>
        <v>-1</v>
      </c>
      <c r="K43" s="736">
        <f>D43</f>
        <v>33255000</v>
      </c>
    </row>
    <row r="44" spans="1:11" ht="12.75" customHeight="1" x14ac:dyDescent="0.2">
      <c r="A44" s="396" t="s">
        <v>1456</v>
      </c>
      <c r="B44" s="169"/>
      <c r="C44" s="748"/>
      <c r="D44" s="745"/>
      <c r="E44" s="733"/>
      <c r="F44" s="733"/>
      <c r="G44" s="733"/>
      <c r="H44" s="733"/>
      <c r="I44" s="44">
        <f t="shared" si="15"/>
        <v>0</v>
      </c>
      <c r="J44" s="124" t="str">
        <f t="shared" si="16"/>
        <v/>
      </c>
      <c r="K44" s="736"/>
    </row>
    <row r="45" spans="1:11" ht="12.75" customHeight="1" x14ac:dyDescent="0.2">
      <c r="A45" s="397" t="str">
        <f>'SC6'!A45</f>
        <v>Provincial Government:</v>
      </c>
      <c r="B45" s="169"/>
      <c r="C45" s="516">
        <f t="shared" ref="C45:H45" si="19">SUM(C46:C57)</f>
        <v>0</v>
      </c>
      <c r="D45" s="475">
        <f t="shared" si="19"/>
        <v>270624156</v>
      </c>
      <c r="E45" s="430">
        <f t="shared" si="19"/>
        <v>0</v>
      </c>
      <c r="F45" s="430">
        <f t="shared" si="19"/>
        <v>2756128.0200000005</v>
      </c>
      <c r="G45" s="430">
        <f t="shared" si="19"/>
        <v>6770168.9400000004</v>
      </c>
      <c r="H45" s="430">
        <f t="shared" si="19"/>
        <v>67656039</v>
      </c>
      <c r="I45" s="514">
        <f>G45-H45</f>
        <v>-60885870.060000002</v>
      </c>
      <c r="J45" s="552">
        <f>IF(I45=0,"",I45/H45)</f>
        <v>-0.89993252575723515</v>
      </c>
      <c r="K45" s="513">
        <f>SUM(K46:K57)</f>
        <v>270624156</v>
      </c>
    </row>
    <row r="46" spans="1:11" ht="12.75" customHeight="1" x14ac:dyDescent="0.2">
      <c r="A46" s="397" t="s">
        <v>1439</v>
      </c>
      <c r="B46" s="169"/>
      <c r="C46" s="783"/>
      <c r="D46" s="784"/>
      <c r="E46" s="737"/>
      <c r="F46" s="737"/>
      <c r="G46" s="737"/>
      <c r="H46" s="737"/>
      <c r="I46" s="514">
        <f>G46-H46</f>
        <v>0</v>
      </c>
      <c r="J46" s="552" t="str">
        <f>IF(I46=0,"",I46/H46)</f>
        <v/>
      </c>
      <c r="K46" s="738"/>
    </row>
    <row r="47" spans="1:11" ht="12.75" customHeight="1" x14ac:dyDescent="0.2">
      <c r="A47" s="397" t="s">
        <v>1457</v>
      </c>
      <c r="B47" s="169"/>
      <c r="C47" s="786"/>
      <c r="D47" s="787"/>
      <c r="E47" s="788"/>
      <c r="F47" s="788"/>
      <c r="G47" s="788"/>
      <c r="H47" s="788"/>
      <c r="I47" s="44"/>
      <c r="J47" s="124"/>
      <c r="K47" s="789"/>
    </row>
    <row r="48" spans="1:11" ht="12.75" customHeight="1" x14ac:dyDescent="0.2">
      <c r="A48" s="397" t="s">
        <v>771</v>
      </c>
      <c r="B48" s="169"/>
      <c r="C48" s="786"/>
      <c r="D48" s="787"/>
      <c r="E48" s="788"/>
      <c r="F48" s="788"/>
      <c r="G48" s="788"/>
      <c r="H48" s="788"/>
      <c r="I48" s="44"/>
      <c r="J48" s="124"/>
      <c r="K48" s="789"/>
    </row>
    <row r="49" spans="1:11" ht="12.75" customHeight="1" x14ac:dyDescent="0.2">
      <c r="A49" s="397" t="s">
        <v>1458</v>
      </c>
      <c r="B49" s="169"/>
      <c r="C49" s="786"/>
      <c r="D49" s="787"/>
      <c r="E49" s="788"/>
      <c r="F49" s="788"/>
      <c r="G49" s="788"/>
      <c r="H49" s="788"/>
      <c r="I49" s="44"/>
      <c r="J49" s="124"/>
      <c r="K49" s="789"/>
    </row>
    <row r="50" spans="1:11" ht="12.75" customHeight="1" x14ac:dyDescent="0.2">
      <c r="A50" s="397" t="s">
        <v>1444</v>
      </c>
      <c r="B50" s="169"/>
      <c r="C50" s="786"/>
      <c r="D50" s="733">
        <v>6124156</v>
      </c>
      <c r="E50" s="788"/>
      <c r="F50" s="788"/>
      <c r="G50" s="788"/>
      <c r="H50" s="733">
        <f t="shared" ref="H50:H52" si="20">D50/12*3</f>
        <v>1531039</v>
      </c>
      <c r="I50" s="44"/>
      <c r="J50" s="124"/>
      <c r="K50" s="733">
        <f t="shared" ref="K50:K57" si="21">D50</f>
        <v>6124156</v>
      </c>
    </row>
    <row r="51" spans="1:11" ht="12.75" customHeight="1" x14ac:dyDescent="0.2">
      <c r="A51" s="397" t="s">
        <v>1459</v>
      </c>
      <c r="B51" s="169"/>
      <c r="C51" s="786"/>
      <c r="D51" s="733">
        <v>2500000</v>
      </c>
      <c r="E51" s="788"/>
      <c r="F51" s="788"/>
      <c r="G51" s="788"/>
      <c r="H51" s="733">
        <f t="shared" si="20"/>
        <v>625000</v>
      </c>
      <c r="I51" s="44"/>
      <c r="J51" s="124"/>
      <c r="K51" s="733">
        <f t="shared" si="21"/>
        <v>2500000</v>
      </c>
    </row>
    <row r="52" spans="1:11" ht="12.75" customHeight="1" x14ac:dyDescent="0.2">
      <c r="A52" s="397" t="s">
        <v>1439</v>
      </c>
      <c r="B52" s="169"/>
      <c r="C52" s="786"/>
      <c r="D52" s="733">
        <v>774000</v>
      </c>
      <c r="E52" s="788"/>
      <c r="F52" s="788"/>
      <c r="G52" s="788"/>
      <c r="H52" s="733">
        <f t="shared" si="20"/>
        <v>193500</v>
      </c>
      <c r="I52" s="44"/>
      <c r="J52" s="124"/>
      <c r="K52" s="733">
        <f t="shared" si="21"/>
        <v>774000</v>
      </c>
    </row>
    <row r="53" spans="1:11" ht="12.75" customHeight="1" x14ac:dyDescent="0.2">
      <c r="A53" s="397" t="s">
        <v>1440</v>
      </c>
      <c r="B53" s="169"/>
      <c r="C53" s="786"/>
      <c r="D53" s="733"/>
      <c r="E53" s="788"/>
      <c r="F53" s="788"/>
      <c r="G53" s="788"/>
      <c r="H53" s="733"/>
      <c r="I53" s="44"/>
      <c r="J53" s="124"/>
      <c r="K53" s="733"/>
    </row>
    <row r="54" spans="1:11" ht="12.75" customHeight="1" x14ac:dyDescent="0.2">
      <c r="A54" s="397" t="s">
        <v>1443</v>
      </c>
      <c r="B54" s="169"/>
      <c r="C54" s="786"/>
      <c r="D54" s="733">
        <v>244264000</v>
      </c>
      <c r="E54" s="788"/>
      <c r="F54" s="788"/>
      <c r="G54" s="788"/>
      <c r="H54" s="733">
        <f t="shared" ref="H54:H55" si="22">D54/12*3</f>
        <v>61066000</v>
      </c>
      <c r="I54" s="44"/>
      <c r="J54" s="124"/>
      <c r="K54" s="733">
        <f t="shared" si="21"/>
        <v>244264000</v>
      </c>
    </row>
    <row r="55" spans="1:11" ht="12.75" customHeight="1" x14ac:dyDescent="0.2">
      <c r="A55" s="397" t="s">
        <v>1445</v>
      </c>
      <c r="B55" s="169"/>
      <c r="C55" s="786"/>
      <c r="D55" s="733">
        <v>6750000</v>
      </c>
      <c r="E55" s="788"/>
      <c r="F55" s="733">
        <v>2756128.0200000005</v>
      </c>
      <c r="G55" s="733">
        <v>6770168.9400000004</v>
      </c>
      <c r="H55" s="733">
        <f t="shared" si="22"/>
        <v>1687500</v>
      </c>
      <c r="I55" s="44"/>
      <c r="J55" s="124"/>
      <c r="K55" s="733">
        <f t="shared" si="21"/>
        <v>6750000</v>
      </c>
    </row>
    <row r="56" spans="1:11" ht="12.75" customHeight="1" x14ac:dyDescent="0.2">
      <c r="A56" s="397" t="s">
        <v>623</v>
      </c>
      <c r="B56" s="169"/>
      <c r="C56" s="786"/>
      <c r="D56" s="733"/>
      <c r="E56" s="788"/>
      <c r="F56" s="788"/>
      <c r="G56" s="788"/>
      <c r="H56" s="788"/>
      <c r="I56" s="44"/>
      <c r="J56" s="124"/>
      <c r="K56" s="789"/>
    </row>
    <row r="57" spans="1:11" ht="12.75" customHeight="1" x14ac:dyDescent="0.2">
      <c r="A57" s="396" t="s">
        <v>1446</v>
      </c>
      <c r="B57" s="169"/>
      <c r="C57" s="748"/>
      <c r="D57" s="733">
        <v>10212000</v>
      </c>
      <c r="E57" s="733"/>
      <c r="F57" s="733"/>
      <c r="G57" s="733"/>
      <c r="H57" s="733">
        <f t="shared" ref="H57" si="23">D57/12*3</f>
        <v>2553000</v>
      </c>
      <c r="I57" s="44">
        <f>G57-H57</f>
        <v>-2553000</v>
      </c>
      <c r="J57" s="124">
        <f t="shared" ref="J57:J62" si="24">IF(I57=0,"",I57/H57)</f>
        <v>-1</v>
      </c>
      <c r="K57" s="735">
        <f t="shared" si="21"/>
        <v>10212000</v>
      </c>
    </row>
    <row r="58" spans="1:11" ht="12.75" customHeight="1" x14ac:dyDescent="0.2">
      <c r="A58" s="397" t="str">
        <f>'SC6'!A57</f>
        <v>District Municipality:</v>
      </c>
      <c r="B58" s="169"/>
      <c r="C58" s="516">
        <f t="shared" ref="C58:H58" si="25">SUM(C59:C59)</f>
        <v>0</v>
      </c>
      <c r="D58" s="475">
        <f t="shared" si="25"/>
        <v>0</v>
      </c>
      <c r="E58" s="430">
        <f t="shared" si="25"/>
        <v>0</v>
      </c>
      <c r="F58" s="430">
        <f t="shared" si="25"/>
        <v>0</v>
      </c>
      <c r="G58" s="430">
        <f t="shared" si="25"/>
        <v>0</v>
      </c>
      <c r="H58" s="430">
        <f t="shared" si="25"/>
        <v>0</v>
      </c>
      <c r="I58" s="514">
        <f>G58-H58</f>
        <v>0</v>
      </c>
      <c r="J58" s="552" t="str">
        <f t="shared" si="24"/>
        <v/>
      </c>
      <c r="K58" s="513">
        <f>SUM(K59:K59)</f>
        <v>0</v>
      </c>
    </row>
    <row r="59" spans="1:11" ht="12.75" customHeight="1" x14ac:dyDescent="0.2">
      <c r="A59" s="397"/>
      <c r="B59" s="169"/>
      <c r="C59" s="783"/>
      <c r="D59" s="784"/>
      <c r="E59" s="737"/>
      <c r="F59" s="737"/>
      <c r="G59" s="737"/>
      <c r="H59" s="737"/>
      <c r="I59" s="514">
        <f>G59-H59</f>
        <v>0</v>
      </c>
      <c r="J59" s="552" t="str">
        <f t="shared" si="24"/>
        <v/>
      </c>
      <c r="K59" s="738"/>
    </row>
    <row r="60" spans="1:11" ht="12.75" customHeight="1" x14ac:dyDescent="0.2">
      <c r="A60" s="397" t="str">
        <f>'SC6'!A59</f>
        <v>Other grant providers:</v>
      </c>
      <c r="B60" s="169"/>
      <c r="C60" s="516">
        <f t="shared" ref="C60:H60" si="26">SUM(C61:C61)</f>
        <v>0</v>
      </c>
      <c r="D60" s="475">
        <f t="shared" si="26"/>
        <v>0</v>
      </c>
      <c r="E60" s="430">
        <f t="shared" si="26"/>
        <v>0</v>
      </c>
      <c r="F60" s="430">
        <f t="shared" si="26"/>
        <v>0</v>
      </c>
      <c r="G60" s="430">
        <f t="shared" si="26"/>
        <v>0</v>
      </c>
      <c r="H60" s="430">
        <f t="shared" si="26"/>
        <v>0</v>
      </c>
      <c r="I60" s="514">
        <f>G60-H60</f>
        <v>0</v>
      </c>
      <c r="J60" s="552" t="str">
        <f t="shared" si="24"/>
        <v/>
      </c>
      <c r="K60" s="513">
        <f>SUM(K61:K61)</f>
        <v>0</v>
      </c>
    </row>
    <row r="61" spans="1:11" ht="12.75" customHeight="1" x14ac:dyDescent="0.2">
      <c r="A61" s="397"/>
      <c r="B61" s="169"/>
      <c r="C61" s="783"/>
      <c r="D61" s="784"/>
      <c r="E61" s="737"/>
      <c r="F61" s="737"/>
      <c r="G61" s="737"/>
      <c r="H61" s="737"/>
      <c r="I61" s="514">
        <f>G61-H61</f>
        <v>0</v>
      </c>
      <c r="J61" s="552" t="str">
        <f t="shared" si="24"/>
        <v/>
      </c>
      <c r="K61" s="738"/>
    </row>
    <row r="62" spans="1:11" ht="12.75" customHeight="1" x14ac:dyDescent="0.2">
      <c r="A62" s="557" t="s">
        <v>60</v>
      </c>
      <c r="B62" s="233"/>
      <c r="C62" s="243">
        <f t="shared" ref="C62:I62" si="27">C36+C45+C58+C60</f>
        <v>0</v>
      </c>
      <c r="D62" s="74">
        <f t="shared" si="27"/>
        <v>525891580.99999988</v>
      </c>
      <c r="E62" s="73">
        <f t="shared" si="27"/>
        <v>0</v>
      </c>
      <c r="F62" s="73">
        <f t="shared" si="27"/>
        <v>13365596.886000004</v>
      </c>
      <c r="G62" s="73">
        <f t="shared" si="27"/>
        <v>39612681.453000002</v>
      </c>
      <c r="H62" s="73">
        <f t="shared" si="27"/>
        <v>131472895.24999997</v>
      </c>
      <c r="I62" s="73">
        <f t="shared" si="27"/>
        <v>-91860213.796999961</v>
      </c>
      <c r="J62" s="304">
        <f t="shared" si="24"/>
        <v>-0.6987007749568821</v>
      </c>
      <c r="K62" s="145">
        <f>K36+K45+K58+K60</f>
        <v>525891580.99999988</v>
      </c>
    </row>
    <row r="63" spans="1:11" ht="5.0999999999999996" customHeight="1" x14ac:dyDescent="0.2">
      <c r="A63" s="548"/>
      <c r="B63" s="169"/>
      <c r="C63" s="134"/>
      <c r="D63" s="46"/>
      <c r="E63" s="44"/>
      <c r="F63" s="44"/>
      <c r="G63" s="44"/>
      <c r="H63" s="44"/>
      <c r="I63" s="44"/>
      <c r="J63" s="124"/>
      <c r="K63" s="144"/>
    </row>
    <row r="64" spans="1:11" ht="12.75" customHeight="1" x14ac:dyDescent="0.2">
      <c r="A64" s="687" t="s">
        <v>132</v>
      </c>
      <c r="B64" s="284"/>
      <c r="C64" s="112">
        <f t="shared" ref="C64:I64" si="28">C33+C62</f>
        <v>0</v>
      </c>
      <c r="D64" s="56">
        <f t="shared" si="28"/>
        <v>1201374821</v>
      </c>
      <c r="E64" s="55">
        <f t="shared" si="28"/>
        <v>0</v>
      </c>
      <c r="F64" s="55">
        <f t="shared" si="28"/>
        <v>49765442.540000007</v>
      </c>
      <c r="G64" s="55">
        <f t="shared" si="28"/>
        <v>85246487.219999999</v>
      </c>
      <c r="H64" s="55">
        <f t="shared" si="28"/>
        <v>300343705.25</v>
      </c>
      <c r="I64" s="55">
        <f t="shared" si="28"/>
        <v>-215097218.02999997</v>
      </c>
      <c r="J64" s="290">
        <f>IF(I64=0,"",I64/H64)</f>
        <v>-0.71617022188281731</v>
      </c>
      <c r="K64" s="235">
        <f>K33+K62</f>
        <v>1201374821</v>
      </c>
    </row>
    <row r="65" spans="1:11" ht="12.75" customHeight="1" x14ac:dyDescent="0.2">
      <c r="A65" s="57" t="str">
        <f>head27a</f>
        <v>References</v>
      </c>
      <c r="B65" s="58"/>
      <c r="C65" s="62"/>
      <c r="D65" s="62"/>
      <c r="E65" s="62"/>
      <c r="F65" s="62"/>
      <c r="G65" s="62"/>
      <c r="H65" s="62"/>
      <c r="I65" s="62"/>
      <c r="J65" s="62"/>
      <c r="K65" s="62"/>
    </row>
    <row r="66" spans="1:11" ht="12.75" customHeight="1" x14ac:dyDescent="0.2">
      <c r="A66" s="80"/>
      <c r="B66" s="58"/>
      <c r="C66" s="67"/>
      <c r="D66" s="67"/>
      <c r="E66" s="67"/>
      <c r="F66" s="67"/>
      <c r="G66" s="67"/>
      <c r="H66" s="67"/>
      <c r="I66" s="67"/>
      <c r="J66" s="67"/>
      <c r="K66" s="67"/>
    </row>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43" sqref="A43"/>
    </sheetView>
  </sheetViews>
  <sheetFormatPr defaultColWidth="9.109375" defaultRowHeight="10.199999999999999" x14ac:dyDescent="0.2"/>
  <cols>
    <col min="1" max="1" width="40.6640625" style="25" customWidth="1"/>
    <col min="2" max="2" width="3.5546875" style="68" customWidth="1"/>
    <col min="3" max="3" width="10.6640625" style="25" customWidth="1"/>
    <col min="4" max="7" width="11.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7" ht="13.8" x14ac:dyDescent="0.3">
      <c r="A1" s="1053" t="str">
        <f>muni&amp; " - "&amp;S71T&amp; " - "&amp;Head57</f>
        <v>KZN225 Msunduzi - Supporting Table SC7(2) Monthly Budget Statement - Expenditure against approved rollovers - Q1 First Quarter</v>
      </c>
      <c r="B1" s="1053"/>
      <c r="C1" s="1053"/>
      <c r="D1" s="1053"/>
      <c r="E1" s="1053"/>
      <c r="F1" s="1053"/>
      <c r="G1" s="1053"/>
    </row>
    <row r="2" spans="1:7" ht="21.75" customHeight="1" x14ac:dyDescent="0.2">
      <c r="A2" s="1042" t="str">
        <f>desc</f>
        <v>Description</v>
      </c>
      <c r="B2" s="1035" t="str">
        <f>head27</f>
        <v>Ref</v>
      </c>
      <c r="C2" s="1037" t="str">
        <f>Head2</f>
        <v>Budget Year 2020/21</v>
      </c>
      <c r="D2" s="1038"/>
      <c r="E2" s="1038"/>
      <c r="F2" s="1038"/>
      <c r="G2" s="1039"/>
    </row>
    <row r="3" spans="1:7" ht="39.75" customHeight="1" x14ac:dyDescent="0.2">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
      <c r="A4" s="291" t="s">
        <v>667</v>
      </c>
      <c r="B4" s="248"/>
      <c r="C4" s="293"/>
      <c r="D4" s="295"/>
      <c r="E4" s="903"/>
      <c r="F4" s="295"/>
      <c r="G4" s="905" t="s">
        <v>575</v>
      </c>
    </row>
    <row r="5" spans="1:7" ht="12.75" customHeight="1" x14ac:dyDescent="0.2">
      <c r="A5" s="136" t="s">
        <v>536</v>
      </c>
      <c r="B5" s="309"/>
      <c r="C5" s="46"/>
      <c r="D5" s="44"/>
      <c r="E5" s="44"/>
      <c r="F5" s="44"/>
      <c r="G5" s="276"/>
    </row>
    <row r="6" spans="1:7" ht="5.0999999999999996" customHeight="1" x14ac:dyDescent="0.2">
      <c r="A6" s="35"/>
      <c r="B6" s="169"/>
      <c r="C6" s="46"/>
      <c r="D6" s="44"/>
      <c r="E6" s="44"/>
      <c r="F6" s="44"/>
      <c r="G6" s="276"/>
    </row>
    <row r="7" spans="1:7" ht="12.75" customHeight="1" x14ac:dyDescent="0.2">
      <c r="A7" s="549" t="s">
        <v>1095</v>
      </c>
      <c r="B7" s="169"/>
      <c r="C7" s="46"/>
      <c r="D7" s="44"/>
      <c r="E7" s="44"/>
      <c r="F7" s="44"/>
      <c r="G7" s="276"/>
    </row>
    <row r="8" spans="1:7" ht="14.25" customHeight="1" x14ac:dyDescent="0.2">
      <c r="A8" s="106" t="str">
        <f>'SC6'!A8</f>
        <v>National Government:</v>
      </c>
      <c r="B8" s="169"/>
      <c r="C8" s="51">
        <f>SUM(C9:C15)</f>
        <v>0</v>
      </c>
      <c r="D8" s="50">
        <f>SUM(D9:D15)</f>
        <v>0</v>
      </c>
      <c r="E8" s="50">
        <f>SUM(E9:E15)</f>
        <v>0</v>
      </c>
      <c r="F8" s="50">
        <f>SUM(F9:F15)</f>
        <v>0</v>
      </c>
      <c r="G8" s="906" t="str">
        <f>IF(F8=0,"",F8/C8)</f>
        <v/>
      </c>
    </row>
    <row r="9" spans="1:7" x14ac:dyDescent="0.2">
      <c r="A9" s="396" t="str">
        <f>'SC6'!A9</f>
        <v>Local Government Equitable Share</v>
      </c>
      <c r="B9" s="169"/>
      <c r="C9" s="780"/>
      <c r="D9" s="734"/>
      <c r="E9" s="734"/>
      <c r="F9" s="514">
        <f>E9-C9</f>
        <v>0</v>
      </c>
      <c r="G9" s="907" t="str">
        <f t="shared" ref="G9:G49" si="0">IF(F9=0,"",F9/C9)</f>
        <v/>
      </c>
    </row>
    <row r="10" spans="1:7" ht="12.75" customHeight="1" x14ac:dyDescent="0.2">
      <c r="A10" s="396" t="str">
        <f>'SC6'!A10</f>
        <v xml:space="preserve">Finance Management </v>
      </c>
      <c r="B10" s="169"/>
      <c r="C10" s="745"/>
      <c r="D10" s="733"/>
      <c r="E10" s="733"/>
      <c r="F10" s="44">
        <f t="shared" ref="F10:F15" si="1">C10-E10</f>
        <v>0</v>
      </c>
      <c r="G10" s="276" t="str">
        <f t="shared" si="0"/>
        <v/>
      </c>
    </row>
    <row r="11" spans="1:7" ht="12.75" customHeight="1" x14ac:dyDescent="0.2">
      <c r="A11" s="396" t="str">
        <f>'SC6'!A14</f>
        <v>Public Transport Infrastracture</v>
      </c>
      <c r="B11" s="169"/>
      <c r="C11" s="745"/>
      <c r="D11" s="733"/>
      <c r="E11" s="733"/>
      <c r="F11" s="44">
        <f t="shared" si="1"/>
        <v>0</v>
      </c>
      <c r="G11" s="276" t="str">
        <f t="shared" si="0"/>
        <v/>
      </c>
    </row>
    <row r="12" spans="1:7" ht="12.75" customHeight="1" x14ac:dyDescent="0.2">
      <c r="A12" s="396" t="str">
        <f>'SC6'!A15</f>
        <v>Energy Efficiency  and Demand Management</v>
      </c>
      <c r="B12" s="169"/>
      <c r="C12" s="745"/>
      <c r="D12" s="733"/>
      <c r="E12" s="733"/>
      <c r="F12" s="44">
        <f t="shared" si="1"/>
        <v>0</v>
      </c>
      <c r="G12" s="276" t="str">
        <f t="shared" si="0"/>
        <v/>
      </c>
    </row>
    <row r="13" spans="1:7" ht="12.75" customHeight="1" x14ac:dyDescent="0.2">
      <c r="A13" s="396"/>
      <c r="B13" s="169"/>
      <c r="C13" s="745"/>
      <c r="D13" s="733"/>
      <c r="E13" s="733"/>
      <c r="F13" s="44">
        <f t="shared" si="1"/>
        <v>0</v>
      </c>
      <c r="G13" s="276" t="str">
        <f t="shared" si="0"/>
        <v/>
      </c>
    </row>
    <row r="14" spans="1:7" ht="12.75" customHeight="1" x14ac:dyDescent="0.2">
      <c r="A14" s="396"/>
      <c r="B14" s="169"/>
      <c r="C14" s="745"/>
      <c r="D14" s="733"/>
      <c r="E14" s="733"/>
      <c r="F14" s="44">
        <f t="shared" si="1"/>
        <v>0</v>
      </c>
      <c r="G14" s="276" t="str">
        <f t="shared" si="0"/>
        <v/>
      </c>
    </row>
    <row r="15" spans="1:7" ht="12.75" customHeight="1" x14ac:dyDescent="0.2">
      <c r="A15" s="396" t="e">
        <f>'SC6'!#REF!</f>
        <v>#REF!</v>
      </c>
      <c r="B15" s="169"/>
      <c r="C15" s="745"/>
      <c r="D15" s="733"/>
      <c r="E15" s="733"/>
      <c r="F15" s="44">
        <f t="shared" si="1"/>
        <v>0</v>
      </c>
      <c r="G15" s="276" t="str">
        <f t="shared" si="0"/>
        <v/>
      </c>
    </row>
    <row r="16" spans="1:7" ht="12.75" customHeight="1" x14ac:dyDescent="0.2">
      <c r="A16" s="397" t="str">
        <f>'SC6'!A17</f>
        <v>Provincial Government:</v>
      </c>
      <c r="B16" s="169"/>
      <c r="C16" s="475">
        <f>SUM(C17:C21)</f>
        <v>0</v>
      </c>
      <c r="D16" s="430">
        <f>SUM(D17:D21)</f>
        <v>0</v>
      </c>
      <c r="E16" s="430">
        <f>SUM(E17:E21)</f>
        <v>0</v>
      </c>
      <c r="F16" s="430">
        <f>SUM(F17:F21)</f>
        <v>0</v>
      </c>
      <c r="G16" s="908" t="str">
        <f t="shared" si="0"/>
        <v/>
      </c>
    </row>
    <row r="17" spans="1:7" ht="12.75" customHeight="1" x14ac:dyDescent="0.2">
      <c r="A17" s="396" t="e">
        <f>'SC6'!#REF!</f>
        <v>#REF!</v>
      </c>
      <c r="B17" s="169"/>
      <c r="C17" s="780"/>
      <c r="D17" s="734"/>
      <c r="E17" s="734"/>
      <c r="F17" s="514">
        <f>C17-E17</f>
        <v>0</v>
      </c>
      <c r="G17" s="907" t="str">
        <f t="shared" si="0"/>
        <v/>
      </c>
    </row>
    <row r="18" spans="1:7" ht="12.75" customHeight="1" x14ac:dyDescent="0.2">
      <c r="A18" s="396" t="e">
        <f>'SC6'!#REF!</f>
        <v>#REF!</v>
      </c>
      <c r="B18" s="169"/>
      <c r="C18" s="745"/>
      <c r="D18" s="733"/>
      <c r="E18" s="733"/>
      <c r="F18" s="44">
        <f>C18-E18</f>
        <v>0</v>
      </c>
      <c r="G18" s="276" t="str">
        <f t="shared" si="0"/>
        <v/>
      </c>
    </row>
    <row r="19" spans="1:7" ht="12.75" customHeight="1" x14ac:dyDescent="0.2">
      <c r="A19" s="396" t="e">
        <f>'SC6'!#REF!</f>
        <v>#REF!</v>
      </c>
      <c r="B19" s="169"/>
      <c r="C19" s="745"/>
      <c r="D19" s="733"/>
      <c r="E19" s="733"/>
      <c r="F19" s="44">
        <f>C19-E19</f>
        <v>0</v>
      </c>
      <c r="G19" s="276" t="str">
        <f t="shared" si="0"/>
        <v/>
      </c>
    </row>
    <row r="20" spans="1:7" ht="12.75" customHeight="1" x14ac:dyDescent="0.2">
      <c r="A20" s="396" t="e">
        <f>'SC6'!#REF!</f>
        <v>#REF!</v>
      </c>
      <c r="B20" s="169"/>
      <c r="C20" s="745"/>
      <c r="D20" s="733"/>
      <c r="E20" s="733"/>
      <c r="F20" s="44">
        <f>C20-E20</f>
        <v>0</v>
      </c>
      <c r="G20" s="276" t="str">
        <f t="shared" si="0"/>
        <v/>
      </c>
    </row>
    <row r="21" spans="1:7" ht="12.75" customHeight="1" x14ac:dyDescent="0.2">
      <c r="A21" s="396" t="e">
        <f>'SC6'!#REF!</f>
        <v>#REF!</v>
      </c>
      <c r="B21" s="169"/>
      <c r="C21" s="745"/>
      <c r="D21" s="733"/>
      <c r="E21" s="733"/>
      <c r="F21" s="44">
        <f>C21-E21</f>
        <v>0</v>
      </c>
      <c r="G21" s="276" t="str">
        <f t="shared" si="0"/>
        <v/>
      </c>
    </row>
    <row r="22" spans="1:7" ht="12.75" customHeight="1" x14ac:dyDescent="0.2">
      <c r="A22" s="397" t="str">
        <f>'SC6'!A29</f>
        <v>District Municipality:</v>
      </c>
      <c r="B22" s="169"/>
      <c r="C22" s="475">
        <f>SUM(C23:C24)</f>
        <v>0</v>
      </c>
      <c r="D22" s="430">
        <f>SUM(D23:D24)</f>
        <v>0</v>
      </c>
      <c r="E22" s="430">
        <f>SUM(E23:E24)</f>
        <v>0</v>
      </c>
      <c r="F22" s="514">
        <f>SUM(F23:F24)</f>
        <v>0</v>
      </c>
      <c r="G22" s="907" t="str">
        <f t="shared" si="0"/>
        <v/>
      </c>
    </row>
    <row r="23" spans="1:7" ht="12.75" customHeight="1" x14ac:dyDescent="0.2">
      <c r="A23" s="397"/>
      <c r="B23" s="169"/>
      <c r="C23" s="784"/>
      <c r="D23" s="737"/>
      <c r="E23" s="737"/>
      <c r="F23" s="514">
        <f>C23-E23</f>
        <v>0</v>
      </c>
      <c r="G23" s="907" t="str">
        <f t="shared" si="0"/>
        <v/>
      </c>
    </row>
    <row r="24" spans="1:7" ht="12.75" customHeight="1" x14ac:dyDescent="0.2">
      <c r="A24" s="398" t="str">
        <f>'SC6'!A30</f>
        <v>[insert description]</v>
      </c>
      <c r="B24" s="169"/>
      <c r="C24" s="745"/>
      <c r="D24" s="733"/>
      <c r="E24" s="733"/>
      <c r="F24" s="44">
        <f>C24-E24</f>
        <v>0</v>
      </c>
      <c r="G24" s="276" t="str">
        <f t="shared" si="0"/>
        <v/>
      </c>
    </row>
    <row r="25" spans="1:7" ht="12.75" customHeight="1" x14ac:dyDescent="0.2">
      <c r="A25" s="397" t="str">
        <f>'SC6'!A31</f>
        <v>Other grant providers:</v>
      </c>
      <c r="B25" s="169"/>
      <c r="C25" s="475">
        <f>SUM(C26:C27)</f>
        <v>0</v>
      </c>
      <c r="D25" s="430">
        <f>SUM(D26:D27)</f>
        <v>0</v>
      </c>
      <c r="E25" s="430">
        <f>SUM(E26:E27)</f>
        <v>0</v>
      </c>
      <c r="F25" s="514">
        <f>SUM(F26:F27)</f>
        <v>0</v>
      </c>
      <c r="G25" s="907" t="str">
        <f t="shared" si="0"/>
        <v/>
      </c>
    </row>
    <row r="26" spans="1:7" ht="12.75" customHeight="1" x14ac:dyDescent="0.2">
      <c r="A26" s="397"/>
      <c r="B26" s="169"/>
      <c r="C26" s="784"/>
      <c r="D26" s="737"/>
      <c r="E26" s="737"/>
      <c r="F26" s="514">
        <f>C26-E26</f>
        <v>0</v>
      </c>
      <c r="G26" s="907" t="str">
        <f t="shared" si="0"/>
        <v/>
      </c>
    </row>
    <row r="27" spans="1:7" ht="12.75" customHeight="1" x14ac:dyDescent="0.2">
      <c r="A27" s="398" t="str">
        <f>'SC6'!A32</f>
        <v>[insert description]</v>
      </c>
      <c r="B27" s="169"/>
      <c r="C27" s="745"/>
      <c r="D27" s="733"/>
      <c r="E27" s="733"/>
      <c r="F27" s="44">
        <f>C27-E27</f>
        <v>0</v>
      </c>
      <c r="G27" s="276" t="str">
        <f t="shared" si="0"/>
        <v/>
      </c>
    </row>
    <row r="28" spans="1:7" ht="12.75" customHeight="1" x14ac:dyDescent="0.2">
      <c r="A28" s="558" t="s">
        <v>1096</v>
      </c>
      <c r="B28" s="233"/>
      <c r="C28" s="74">
        <f>C8+C16+C22+C25</f>
        <v>0</v>
      </c>
      <c r="D28" s="73">
        <f>D8+D16+D22+D25</f>
        <v>0</v>
      </c>
      <c r="E28" s="73">
        <f>E8+E16+E22+E25</f>
        <v>0</v>
      </c>
      <c r="F28" s="73">
        <f>F8+F16+F22+F25</f>
        <v>0</v>
      </c>
      <c r="G28" s="909" t="str">
        <f t="shared" si="0"/>
        <v/>
      </c>
    </row>
    <row r="29" spans="1:7" ht="5.0999999999999996" customHeight="1" x14ac:dyDescent="0.2">
      <c r="A29" s="42"/>
      <c r="B29" s="169"/>
      <c r="C29" s="46"/>
      <c r="D29" s="44"/>
      <c r="E29" s="44"/>
      <c r="F29" s="44"/>
      <c r="G29" s="276" t="str">
        <f t="shared" si="0"/>
        <v/>
      </c>
    </row>
    <row r="30" spans="1:7" ht="12.75" customHeight="1" x14ac:dyDescent="0.2">
      <c r="A30" s="549" t="s">
        <v>1097</v>
      </c>
      <c r="B30" s="169"/>
      <c r="C30" s="46"/>
      <c r="D30" s="44"/>
      <c r="E30" s="44"/>
      <c r="F30" s="44"/>
      <c r="G30" s="276" t="str">
        <f t="shared" si="0"/>
        <v/>
      </c>
    </row>
    <row r="31" spans="1:7" ht="13.5" customHeight="1" x14ac:dyDescent="0.2">
      <c r="A31" s="342" t="str">
        <f>'SC6'!A36</f>
        <v>National Government:</v>
      </c>
      <c r="B31" s="169"/>
      <c r="C31" s="46">
        <f>SUM(C32:C37)</f>
        <v>0</v>
      </c>
      <c r="D31" s="44">
        <f>SUM(D32:D37)</f>
        <v>0</v>
      </c>
      <c r="E31" s="44">
        <f>SUM(E32:E37)</f>
        <v>0</v>
      </c>
      <c r="F31" s="44">
        <f>SUM(F32:F37)</f>
        <v>0</v>
      </c>
      <c r="G31" s="906" t="str">
        <f t="shared" si="0"/>
        <v/>
      </c>
    </row>
    <row r="32" spans="1:7" ht="12.75" customHeight="1" x14ac:dyDescent="0.2">
      <c r="A32" s="396" t="str">
        <f>'SC6'!A37</f>
        <v xml:space="preserve"> Municipal Infrastructure Grant (MIG)</v>
      </c>
      <c r="B32" s="169"/>
      <c r="C32" s="780"/>
      <c r="D32" s="734"/>
      <c r="E32" s="734"/>
      <c r="F32" s="514">
        <f t="shared" ref="F32:F37" si="2">C32-E32</f>
        <v>0</v>
      </c>
      <c r="G32" s="907" t="str">
        <f t="shared" si="0"/>
        <v/>
      </c>
    </row>
    <row r="33" spans="1:7" ht="12.75" customHeight="1" x14ac:dyDescent="0.2">
      <c r="A33" s="396"/>
      <c r="B33" s="169"/>
      <c r="C33" s="745"/>
      <c r="D33" s="733"/>
      <c r="E33" s="733"/>
      <c r="F33" s="44">
        <f t="shared" si="2"/>
        <v>0</v>
      </c>
      <c r="G33" s="276" t="str">
        <f t="shared" si="0"/>
        <v/>
      </c>
    </row>
    <row r="34" spans="1:7" ht="12.75" customHeight="1" x14ac:dyDescent="0.2">
      <c r="A34" s="396"/>
      <c r="B34" s="169"/>
      <c r="C34" s="745"/>
      <c r="D34" s="733"/>
      <c r="E34" s="733"/>
      <c r="F34" s="44">
        <f t="shared" si="2"/>
        <v>0</v>
      </c>
      <c r="G34" s="276" t="str">
        <f t="shared" si="0"/>
        <v/>
      </c>
    </row>
    <row r="35" spans="1:7" ht="12.75" customHeight="1" x14ac:dyDescent="0.2">
      <c r="A35" s="396"/>
      <c r="B35" s="169"/>
      <c r="C35" s="745"/>
      <c r="D35" s="733"/>
      <c r="E35" s="733"/>
      <c r="F35" s="44">
        <f t="shared" si="2"/>
        <v>0</v>
      </c>
      <c r="G35" s="276" t="str">
        <f t="shared" si="0"/>
        <v/>
      </c>
    </row>
    <row r="36" spans="1:7" ht="12.75" customHeight="1" x14ac:dyDescent="0.2">
      <c r="A36" s="396"/>
      <c r="B36" s="169"/>
      <c r="C36" s="745"/>
      <c r="D36" s="733"/>
      <c r="E36" s="733"/>
      <c r="F36" s="44">
        <f t="shared" si="2"/>
        <v>0</v>
      </c>
      <c r="G36" s="276" t="str">
        <f t="shared" si="0"/>
        <v/>
      </c>
    </row>
    <row r="37" spans="1:7" ht="12.75" customHeight="1" x14ac:dyDescent="0.2">
      <c r="A37" s="396" t="str">
        <f>'SC6'!A44</f>
        <v>Energy Efficiency and Demand Manaagement</v>
      </c>
      <c r="B37" s="169"/>
      <c r="C37" s="745"/>
      <c r="D37" s="733"/>
      <c r="E37" s="733"/>
      <c r="F37" s="44">
        <f t="shared" si="2"/>
        <v>0</v>
      </c>
      <c r="G37" s="276" t="str">
        <f t="shared" si="0"/>
        <v/>
      </c>
    </row>
    <row r="38" spans="1:7" ht="12.75" customHeight="1" x14ac:dyDescent="0.2">
      <c r="A38" s="397" t="str">
        <f>'SC6'!A45</f>
        <v>Provincial Government:</v>
      </c>
      <c r="B38" s="169"/>
      <c r="C38" s="475">
        <f>SUM(C39:C40)</f>
        <v>0</v>
      </c>
      <c r="D38" s="430">
        <f>SUM(D39:D40)</f>
        <v>0</v>
      </c>
      <c r="E38" s="430">
        <f>SUM(E39:E40)</f>
        <v>0</v>
      </c>
      <c r="F38" s="514">
        <f>SUM(F39:F40)</f>
        <v>0</v>
      </c>
      <c r="G38" s="907" t="str">
        <f t="shared" si="0"/>
        <v/>
      </c>
    </row>
    <row r="39" spans="1:7" ht="12.75" customHeight="1" x14ac:dyDescent="0.2">
      <c r="A39" s="397"/>
      <c r="B39" s="169"/>
      <c r="C39" s="784"/>
      <c r="D39" s="737"/>
      <c r="E39" s="737"/>
      <c r="F39" s="514">
        <f>C39-E39</f>
        <v>0</v>
      </c>
      <c r="G39" s="907" t="str">
        <f t="shared" si="0"/>
        <v/>
      </c>
    </row>
    <row r="40" spans="1:7" ht="12.75" customHeight="1" x14ac:dyDescent="0.2">
      <c r="A40" s="396" t="str">
        <f>'SC6'!A56</f>
        <v xml:space="preserve">Arts and Culture-Museum Subsidies - Tatham Art Gallery </v>
      </c>
      <c r="B40" s="169"/>
      <c r="C40" s="745"/>
      <c r="D40" s="733"/>
      <c r="E40" s="733"/>
      <c r="F40" s="44">
        <f>C40-E40</f>
        <v>0</v>
      </c>
      <c r="G40" s="276" t="str">
        <f t="shared" si="0"/>
        <v/>
      </c>
    </row>
    <row r="41" spans="1:7" ht="12.75" customHeight="1" x14ac:dyDescent="0.2">
      <c r="A41" s="397" t="str">
        <f>'SC6'!A57</f>
        <v>District Municipality:</v>
      </c>
      <c r="B41" s="169"/>
      <c r="C41" s="475">
        <f>SUM(C42:C43)</f>
        <v>0</v>
      </c>
      <c r="D41" s="430">
        <f>SUM(D42:D43)</f>
        <v>0</v>
      </c>
      <c r="E41" s="430">
        <f>SUM(E42:E43)</f>
        <v>0</v>
      </c>
      <c r="F41" s="514">
        <f>SUM(F42:F43)</f>
        <v>0</v>
      </c>
      <c r="G41" s="907" t="str">
        <f t="shared" si="0"/>
        <v/>
      </c>
    </row>
    <row r="42" spans="1:7" ht="12.75" customHeight="1" x14ac:dyDescent="0.2">
      <c r="A42" s="397"/>
      <c r="B42" s="169"/>
      <c r="C42" s="784"/>
      <c r="D42" s="737"/>
      <c r="E42" s="737"/>
      <c r="F42" s="514">
        <f>C42-E42</f>
        <v>0</v>
      </c>
      <c r="G42" s="907" t="str">
        <f t="shared" si="0"/>
        <v/>
      </c>
    </row>
    <row r="43" spans="1:7" ht="12.75" customHeight="1" x14ac:dyDescent="0.2">
      <c r="A43" s="398" t="e">
        <f>'SC6'!#REF!</f>
        <v>#REF!</v>
      </c>
      <c r="B43" s="169"/>
      <c r="C43" s="745"/>
      <c r="D43" s="733"/>
      <c r="E43" s="733"/>
      <c r="F43" s="44">
        <f>C43-E43</f>
        <v>0</v>
      </c>
      <c r="G43" s="276" t="str">
        <f t="shared" si="0"/>
        <v/>
      </c>
    </row>
    <row r="44" spans="1:7" ht="12.75" customHeight="1" x14ac:dyDescent="0.2">
      <c r="A44" s="397" t="str">
        <f>'SC6'!A59</f>
        <v>Other grant providers:</v>
      </c>
      <c r="B44" s="169"/>
      <c r="C44" s="475">
        <f>SUM(C45:C46)</f>
        <v>0</v>
      </c>
      <c r="D44" s="430">
        <f>SUM(D45:D46)</f>
        <v>0</v>
      </c>
      <c r="E44" s="430">
        <f>SUM(E45:E46)</f>
        <v>0</v>
      </c>
      <c r="F44" s="514">
        <f>SUM(F45:F46)</f>
        <v>0</v>
      </c>
      <c r="G44" s="907" t="str">
        <f t="shared" si="0"/>
        <v/>
      </c>
    </row>
    <row r="45" spans="1:7" ht="12.75" customHeight="1" x14ac:dyDescent="0.2">
      <c r="A45" s="397"/>
      <c r="B45" s="169"/>
      <c r="C45" s="784"/>
      <c r="D45" s="737"/>
      <c r="E45" s="737"/>
      <c r="F45" s="514">
        <f>C45-E45</f>
        <v>0</v>
      </c>
      <c r="G45" s="907" t="str">
        <f t="shared" si="0"/>
        <v/>
      </c>
    </row>
    <row r="46" spans="1:7" ht="12.75" customHeight="1" x14ac:dyDescent="0.2">
      <c r="A46" s="398" t="e">
        <f>'SC6'!#REF!</f>
        <v>#REF!</v>
      </c>
      <c r="B46" s="169"/>
      <c r="C46" s="745"/>
      <c r="D46" s="733"/>
      <c r="E46" s="733"/>
      <c r="F46" s="44">
        <f>C46-E46</f>
        <v>0</v>
      </c>
      <c r="G46" s="276" t="str">
        <f t="shared" si="0"/>
        <v/>
      </c>
    </row>
    <row r="47" spans="1:7" ht="12.75" customHeight="1" x14ac:dyDescent="0.2">
      <c r="A47" s="557" t="s">
        <v>1098</v>
      </c>
      <c r="B47" s="233"/>
      <c r="C47" s="74">
        <f>C31+C38+C41+C44</f>
        <v>0</v>
      </c>
      <c r="D47" s="73">
        <f>D31+D38+D41+D44</f>
        <v>0</v>
      </c>
      <c r="E47" s="73">
        <f>E31+E38+E41+E44</f>
        <v>0</v>
      </c>
      <c r="F47" s="73">
        <f>F31+F38+F41+F44</f>
        <v>0</v>
      </c>
      <c r="G47" s="909" t="str">
        <f t="shared" si="0"/>
        <v/>
      </c>
    </row>
    <row r="48" spans="1:7" ht="5.0999999999999996" customHeight="1" x14ac:dyDescent="0.2">
      <c r="A48" s="548"/>
      <c r="B48" s="169"/>
      <c r="C48" s="46"/>
      <c r="D48" s="44"/>
      <c r="E48" s="44"/>
      <c r="F48" s="44"/>
      <c r="G48" s="276"/>
    </row>
    <row r="49" spans="1:7" ht="12.75" customHeight="1" x14ac:dyDescent="0.2">
      <c r="A49" s="687" t="s">
        <v>1099</v>
      </c>
      <c r="B49" s="284"/>
      <c r="C49" s="56">
        <f>C28+C47</f>
        <v>0</v>
      </c>
      <c r="D49" s="55">
        <f>D28+D47</f>
        <v>0</v>
      </c>
      <c r="E49" s="55">
        <f>E28+E47</f>
        <v>0</v>
      </c>
      <c r="F49" s="55">
        <f>F28+F47</f>
        <v>0</v>
      </c>
      <c r="G49" s="910" t="str">
        <f t="shared" si="0"/>
        <v/>
      </c>
    </row>
    <row r="50" spans="1:7" ht="12.75" customHeight="1" x14ac:dyDescent="0.2">
      <c r="A50" s="57" t="str">
        <f>head27a</f>
        <v>References</v>
      </c>
      <c r="B50" s="58"/>
      <c r="C50" s="62"/>
      <c r="D50" s="62"/>
      <c r="E50" s="62"/>
      <c r="F50" s="62"/>
      <c r="G50" s="62"/>
    </row>
    <row r="51" spans="1:7" ht="12.75" customHeight="1" x14ac:dyDescent="0.2">
      <c r="A51" s="80"/>
      <c r="B51" s="58"/>
      <c r="C51" s="67"/>
      <c r="D51" s="67"/>
      <c r="E51" s="67"/>
      <c r="F51" s="67"/>
      <c r="G51" s="67"/>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104" activePane="bottomRight" state="frozen"/>
      <selection pane="topRight"/>
      <selection pane="bottomLeft"/>
      <selection pane="bottomRight" activeCell="M41" sqref="M41"/>
    </sheetView>
  </sheetViews>
  <sheetFormatPr defaultColWidth="9.109375" defaultRowHeight="10.199999999999999" x14ac:dyDescent="0.2"/>
  <cols>
    <col min="1" max="1" width="38.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"&amp;S71N&amp; " - "&amp;Head57</f>
        <v>KZN225 Msunduzi - Supporting Table SC8 Monthly Budget Statement - councillor and staff benefits  - Q1 First Quarter</v>
      </c>
      <c r="B1" s="1053"/>
      <c r="C1" s="1053"/>
      <c r="D1" s="1053"/>
      <c r="E1" s="1053"/>
      <c r="F1" s="1053"/>
      <c r="G1" s="1053"/>
      <c r="H1" s="1053"/>
      <c r="I1" s="1053"/>
      <c r="J1" s="1053"/>
      <c r="K1" s="1053"/>
    </row>
    <row r="2" spans="1:11" x14ac:dyDescent="0.2">
      <c r="A2" s="1042" t="s">
        <v>650</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3"/>
      <c r="E4" s="294"/>
      <c r="F4" s="295"/>
      <c r="G4" s="295"/>
      <c r="H4" s="295"/>
      <c r="I4" s="295"/>
      <c r="J4" s="296" t="s">
        <v>575</v>
      </c>
      <c r="K4" s="297"/>
    </row>
    <row r="5" spans="1:11" ht="12.75" customHeight="1" x14ac:dyDescent="0.2">
      <c r="A5" s="559"/>
      <c r="B5" s="236">
        <v>1</v>
      </c>
      <c r="C5" s="560" t="s">
        <v>579</v>
      </c>
      <c r="D5" s="561" t="s">
        <v>537</v>
      </c>
      <c r="E5" s="562" t="s">
        <v>476</v>
      </c>
      <c r="F5" s="563"/>
      <c r="G5" s="563"/>
      <c r="H5" s="563"/>
      <c r="I5" s="563"/>
      <c r="J5" s="563"/>
      <c r="K5" s="564" t="s">
        <v>606</v>
      </c>
    </row>
    <row r="6" spans="1:11" ht="12.75" customHeight="1" x14ac:dyDescent="0.2">
      <c r="A6" s="566" t="s">
        <v>426</v>
      </c>
      <c r="B6" s="169"/>
      <c r="C6" s="40"/>
      <c r="D6" s="104"/>
      <c r="E6" s="103"/>
      <c r="F6" s="103"/>
      <c r="G6" s="103"/>
      <c r="H6" s="103"/>
      <c r="I6" s="103"/>
      <c r="J6" s="103"/>
      <c r="K6" s="266"/>
    </row>
    <row r="7" spans="1:11" ht="12.75" customHeight="1" x14ac:dyDescent="0.2">
      <c r="A7" s="518" t="s">
        <v>490</v>
      </c>
      <c r="B7" s="169"/>
      <c r="C7" s="748"/>
      <c r="D7" s="745">
        <v>15792288.894999994</v>
      </c>
      <c r="E7" s="733"/>
      <c r="F7" s="733">
        <v>3006704.14</v>
      </c>
      <c r="G7" s="733">
        <v>8085824.120000001</v>
      </c>
      <c r="H7" s="733">
        <f>D7/12*3</f>
        <v>3948072.223749998</v>
      </c>
      <c r="I7" s="44">
        <f t="shared" ref="I7:I14" si="0">G7-H7</f>
        <v>4137751.896250003</v>
      </c>
      <c r="J7" s="330">
        <f t="shared" ref="J7:J14" si="1">IF(I7=0,"",I7/H7)</f>
        <v>1.0480436176823131</v>
      </c>
      <c r="K7" s="735">
        <f t="shared" ref="K7:K12" si="2">D7</f>
        <v>15792288.894999994</v>
      </c>
    </row>
    <row r="8" spans="1:11" ht="12.75" customHeight="1" x14ac:dyDescent="0.2">
      <c r="A8" s="518" t="s">
        <v>1048</v>
      </c>
      <c r="B8" s="169"/>
      <c r="C8" s="748"/>
      <c r="D8" s="745">
        <v>6273530.0123999976</v>
      </c>
      <c r="E8" s="733"/>
      <c r="F8" s="733">
        <v>692784.74</v>
      </c>
      <c r="G8" s="733">
        <v>1356256.51</v>
      </c>
      <c r="H8" s="733">
        <f t="shared" ref="H8:H12" si="3">D8/12*3</f>
        <v>1568382.5030999994</v>
      </c>
      <c r="I8" s="44">
        <f t="shared" si="0"/>
        <v>-212125.99309999938</v>
      </c>
      <c r="J8" s="330">
        <f t="shared" si="1"/>
        <v>-0.13525144069174452</v>
      </c>
      <c r="K8" s="735">
        <f t="shared" si="2"/>
        <v>6273530.0123999976</v>
      </c>
    </row>
    <row r="9" spans="1:11" ht="12.75" customHeight="1" x14ac:dyDescent="0.2">
      <c r="A9" s="518" t="s">
        <v>427</v>
      </c>
      <c r="B9" s="169"/>
      <c r="C9" s="748"/>
      <c r="D9" s="745">
        <v>10528192.964839995</v>
      </c>
      <c r="E9" s="733"/>
      <c r="F9" s="733">
        <v>168073.62000000002</v>
      </c>
      <c r="G9" s="733">
        <v>486103.86</v>
      </c>
      <c r="H9" s="733">
        <f t="shared" si="3"/>
        <v>2632048.2412099987</v>
      </c>
      <c r="I9" s="44">
        <f t="shared" si="0"/>
        <v>-2145944.3812099989</v>
      </c>
      <c r="J9" s="330">
        <f t="shared" si="1"/>
        <v>-0.81531346865567733</v>
      </c>
      <c r="K9" s="735">
        <f t="shared" si="2"/>
        <v>10528192.964839995</v>
      </c>
    </row>
    <row r="10" spans="1:11" ht="12.75" customHeight="1" x14ac:dyDescent="0.2">
      <c r="A10" s="518" t="s">
        <v>1049</v>
      </c>
      <c r="B10" s="169"/>
      <c r="C10" s="748"/>
      <c r="D10" s="745">
        <v>10528194.069359997</v>
      </c>
      <c r="E10" s="733"/>
      <c r="F10" s="733">
        <v>949972.54</v>
      </c>
      <c r="G10" s="733">
        <v>1879469.3199999998</v>
      </c>
      <c r="H10" s="733">
        <f t="shared" si="3"/>
        <v>2632048.5173399993</v>
      </c>
      <c r="I10" s="44">
        <f>G10-H10</f>
        <v>-752579.19733999949</v>
      </c>
      <c r="J10" s="330">
        <f>IF(I10=0,"",I10/H10)</f>
        <v>-0.28592907478034296</v>
      </c>
      <c r="K10" s="735">
        <f t="shared" si="2"/>
        <v>10528194.069359997</v>
      </c>
    </row>
    <row r="11" spans="1:11" ht="12.75" customHeight="1" x14ac:dyDescent="0.2">
      <c r="A11" s="39" t="s">
        <v>1050</v>
      </c>
      <c r="B11" s="169"/>
      <c r="C11" s="748"/>
      <c r="D11" s="745">
        <v>5264098.1391999982</v>
      </c>
      <c r="E11" s="733"/>
      <c r="F11" s="733">
        <v>988838.55</v>
      </c>
      <c r="G11" s="733">
        <v>1329238.55</v>
      </c>
      <c r="H11" s="733">
        <f t="shared" si="3"/>
        <v>1316024.5347999996</v>
      </c>
      <c r="I11" s="44">
        <f>G11-H11</f>
        <v>13214.015200000489</v>
      </c>
      <c r="J11" s="330">
        <f>IF(I11=0,"",I11/H11)</f>
        <v>1.0040857788421601E-2</v>
      </c>
      <c r="K11" s="735">
        <f t="shared" si="2"/>
        <v>5264098.1391999982</v>
      </c>
    </row>
    <row r="12" spans="1:11" ht="12.75" customHeight="1" x14ac:dyDescent="0.2">
      <c r="A12" s="39" t="s">
        <v>1051</v>
      </c>
      <c r="B12" s="169"/>
      <c r="C12" s="748"/>
      <c r="D12" s="745">
        <v>5264097.0346799986</v>
      </c>
      <c r="E12" s="733"/>
      <c r="F12" s="733">
        <v>11074.34</v>
      </c>
      <c r="G12" s="733">
        <v>33223.020000000004</v>
      </c>
      <c r="H12" s="733">
        <f t="shared" si="3"/>
        <v>1316024.2586699997</v>
      </c>
      <c r="I12" s="44">
        <f>G12-H12</f>
        <v>-1282801.2386699996</v>
      </c>
      <c r="J12" s="330">
        <f>IF(I12=0,"",I12/H12)</f>
        <v>-0.9747550094300117</v>
      </c>
      <c r="K12" s="735">
        <f t="shared" si="2"/>
        <v>5264097.0346799986</v>
      </c>
    </row>
    <row r="13" spans="1:11" ht="12.75" customHeight="1" x14ac:dyDescent="0.2">
      <c r="A13" s="39" t="s">
        <v>1052</v>
      </c>
      <c r="B13" s="169"/>
      <c r="C13" s="748"/>
      <c r="D13" s="745"/>
      <c r="E13" s="733"/>
      <c r="F13" s="733">
        <v>439589.57</v>
      </c>
      <c r="G13" s="733">
        <v>454262.31</v>
      </c>
      <c r="H13" s="733"/>
      <c r="I13" s="44">
        <f t="shared" si="0"/>
        <v>454262.31</v>
      </c>
      <c r="J13" s="330" t="e">
        <f t="shared" si="1"/>
        <v>#DIV/0!</v>
      </c>
      <c r="K13" s="735"/>
    </row>
    <row r="14" spans="1:11" ht="12.75" customHeight="1" x14ac:dyDescent="0.2">
      <c r="A14" s="87" t="s">
        <v>428</v>
      </c>
      <c r="B14" s="169"/>
      <c r="C14" s="516">
        <f t="shared" ref="C14:K14" si="4">SUM(C7:C13)</f>
        <v>0</v>
      </c>
      <c r="D14" s="475">
        <f t="shared" si="4"/>
        <v>53650401.115479983</v>
      </c>
      <c r="E14" s="430">
        <f t="shared" si="4"/>
        <v>0</v>
      </c>
      <c r="F14" s="430">
        <f t="shared" si="4"/>
        <v>6257037.5</v>
      </c>
      <c r="G14" s="430">
        <f t="shared" si="4"/>
        <v>13624377.690000001</v>
      </c>
      <c r="H14" s="430">
        <f t="shared" si="4"/>
        <v>13412600.278869996</v>
      </c>
      <c r="I14" s="430">
        <f t="shared" si="0"/>
        <v>211777.41113000549</v>
      </c>
      <c r="J14" s="431">
        <f t="shared" si="1"/>
        <v>1.5789437299763294E-2</v>
      </c>
      <c r="K14" s="513">
        <f t="shared" si="4"/>
        <v>53650401.115479983</v>
      </c>
    </row>
    <row r="15" spans="1:11" ht="12.75" customHeight="1" x14ac:dyDescent="0.2">
      <c r="A15" s="565" t="s">
        <v>722</v>
      </c>
      <c r="B15" s="169">
        <v>4</v>
      </c>
      <c r="C15" s="173"/>
      <c r="D15" s="303" t="e">
        <f>IF(D14=0,"",(D14/C14)-1)</f>
        <v>#DIV/0!</v>
      </c>
      <c r="E15" s="303" t="str">
        <f>IF(E14=0,"",(E14/C14)-1)</f>
        <v/>
      </c>
      <c r="F15" s="303"/>
      <c r="G15" s="303"/>
      <c r="H15" s="303"/>
      <c r="I15" s="303"/>
      <c r="J15" s="344"/>
      <c r="K15" s="312" t="e">
        <f>IF(K14=0,"",(K14/C14)-1)</f>
        <v>#DIV/0!</v>
      </c>
    </row>
    <row r="16" spans="1:11" ht="5.0999999999999996" customHeight="1" x14ac:dyDescent="0.2">
      <c r="A16" s="42"/>
      <c r="B16" s="169"/>
      <c r="C16" s="40"/>
      <c r="D16" s="104"/>
      <c r="E16" s="103"/>
      <c r="F16" s="103"/>
      <c r="G16" s="103"/>
      <c r="H16" s="103"/>
      <c r="I16" s="103"/>
      <c r="J16" s="330"/>
      <c r="K16" s="266"/>
    </row>
    <row r="17" spans="1:11" ht="12.75" customHeight="1" x14ac:dyDescent="0.2">
      <c r="A17" s="566" t="s">
        <v>511</v>
      </c>
      <c r="B17" s="169">
        <v>3</v>
      </c>
      <c r="C17" s="40"/>
      <c r="D17" s="104"/>
      <c r="E17" s="103"/>
      <c r="F17" s="103"/>
      <c r="G17" s="103"/>
      <c r="H17" s="103"/>
      <c r="I17" s="103"/>
      <c r="J17" s="330"/>
      <c r="K17" s="266"/>
    </row>
    <row r="18" spans="1:11" ht="12.75" customHeight="1" x14ac:dyDescent="0.2">
      <c r="A18" s="39" t="s">
        <v>490</v>
      </c>
      <c r="B18" s="169"/>
      <c r="C18" s="748"/>
      <c r="D18" s="745">
        <v>10640389.780800002</v>
      </c>
      <c r="E18" s="733"/>
      <c r="F18" s="733">
        <v>610505.75999999989</v>
      </c>
      <c r="G18" s="733">
        <v>1831517.2799999998</v>
      </c>
      <c r="H18" s="733">
        <f t="shared" ref="H18:H20" si="5">D18/12*3</f>
        <v>2660097.4452000004</v>
      </c>
      <c r="I18" s="44">
        <f t="shared" ref="I18:I30" si="6">G18-H18</f>
        <v>-828580.16520000063</v>
      </c>
      <c r="J18" s="330">
        <f t="shared" ref="J18:J29" si="7">IF(I18=0,"",I18/H18)</f>
        <v>-0.31148489191444018</v>
      </c>
      <c r="K18" s="735">
        <f>D18</f>
        <v>10640389.780800002</v>
      </c>
    </row>
    <row r="19" spans="1:11" ht="12.75" customHeight="1" x14ac:dyDescent="0.2">
      <c r="A19" s="39" t="s">
        <v>1048</v>
      </c>
      <c r="B19" s="169"/>
      <c r="C19" s="748"/>
      <c r="D19" s="745">
        <v>1458021.1247999999</v>
      </c>
      <c r="E19" s="733"/>
      <c r="F19" s="733">
        <v>68706.34</v>
      </c>
      <c r="G19" s="733">
        <v>206119.02000000005</v>
      </c>
      <c r="H19" s="733">
        <f t="shared" si="5"/>
        <v>364505.28119999997</v>
      </c>
      <c r="I19" s="44">
        <f t="shared" si="6"/>
        <v>-158386.26119999992</v>
      </c>
      <c r="J19" s="330">
        <f t="shared" si="7"/>
        <v>-0.43452391328479861</v>
      </c>
      <c r="K19" s="735">
        <f>D19</f>
        <v>1458021.1247999999</v>
      </c>
    </row>
    <row r="20" spans="1:11" ht="12.75" customHeight="1" x14ac:dyDescent="0.2">
      <c r="A20" s="39" t="s">
        <v>427</v>
      </c>
      <c r="B20" s="169"/>
      <c r="C20" s="748"/>
      <c r="D20" s="745">
        <v>160334.42939999999</v>
      </c>
      <c r="E20" s="733"/>
      <c r="F20" s="733">
        <v>7659.12</v>
      </c>
      <c r="G20" s="733">
        <v>22977.360000000001</v>
      </c>
      <c r="H20" s="733">
        <f t="shared" si="5"/>
        <v>40083.607349999998</v>
      </c>
      <c r="I20" s="44">
        <f t="shared" si="6"/>
        <v>-17106.247349999998</v>
      </c>
      <c r="J20" s="330">
        <f t="shared" si="7"/>
        <v>-0.42676416822050323</v>
      </c>
      <c r="K20" s="735">
        <f>D20</f>
        <v>160334.42939999999</v>
      </c>
    </row>
    <row r="21" spans="1:11" ht="12.75" customHeight="1" x14ac:dyDescent="0.2">
      <c r="A21" s="39" t="s">
        <v>539</v>
      </c>
      <c r="B21" s="169"/>
      <c r="C21" s="748"/>
      <c r="D21" s="745">
        <v>0</v>
      </c>
      <c r="E21" s="733"/>
      <c r="F21" s="733"/>
      <c r="G21" s="733"/>
      <c r="H21" s="733"/>
      <c r="I21" s="44">
        <f t="shared" si="6"/>
        <v>0</v>
      </c>
      <c r="J21" s="330" t="str">
        <f t="shared" si="7"/>
        <v/>
      </c>
      <c r="K21" s="735">
        <v>0</v>
      </c>
    </row>
    <row r="22" spans="1:11" ht="12.75" customHeight="1" x14ac:dyDescent="0.2">
      <c r="A22" s="39" t="s">
        <v>429</v>
      </c>
      <c r="B22" s="169"/>
      <c r="C22" s="748"/>
      <c r="D22" s="745">
        <v>665728.85879999993</v>
      </c>
      <c r="E22" s="733"/>
      <c r="F22" s="733"/>
      <c r="G22" s="733"/>
      <c r="H22" s="733">
        <f t="shared" ref="H22:H25" si="8">D22/12*3</f>
        <v>166432.21469999998</v>
      </c>
      <c r="I22" s="44">
        <f>G22-H22</f>
        <v>-166432.21469999998</v>
      </c>
      <c r="J22" s="330">
        <f>IF(I22=0,"",I22/H22)</f>
        <v>-1</v>
      </c>
      <c r="K22" s="735">
        <f>D22</f>
        <v>665728.85879999993</v>
      </c>
    </row>
    <row r="23" spans="1:11" ht="12.75" customHeight="1" x14ac:dyDescent="0.2">
      <c r="A23" s="39" t="s">
        <v>1049</v>
      </c>
      <c r="B23" s="169"/>
      <c r="C23" s="748"/>
      <c r="D23" s="745">
        <v>1278372.5370000002</v>
      </c>
      <c r="E23" s="733"/>
      <c r="F23" s="733">
        <v>62860.86</v>
      </c>
      <c r="G23" s="733">
        <v>188582.58000000002</v>
      </c>
      <c r="H23" s="733">
        <f t="shared" si="8"/>
        <v>319593.13425000006</v>
      </c>
      <c r="I23" s="44">
        <f>G23-H23</f>
        <v>-131010.55425000004</v>
      </c>
      <c r="J23" s="330">
        <f>IF(I23=0,"",I23/H23)</f>
        <v>-0.40992918874007389</v>
      </c>
      <c r="K23" s="735">
        <f>D23</f>
        <v>1278372.5370000002</v>
      </c>
    </row>
    <row r="24" spans="1:11" ht="12.75" customHeight="1" x14ac:dyDescent="0.2">
      <c r="A24" s="39" t="s">
        <v>1050</v>
      </c>
      <c r="B24" s="169"/>
      <c r="C24" s="748"/>
      <c r="D24" s="745">
        <v>111150.72719999999</v>
      </c>
      <c r="E24" s="733"/>
      <c r="F24" s="733">
        <v>6950</v>
      </c>
      <c r="G24" s="733">
        <v>20850</v>
      </c>
      <c r="H24" s="733">
        <f t="shared" si="8"/>
        <v>27787.681799999998</v>
      </c>
      <c r="I24" s="44">
        <f>G24-H24</f>
        <v>-6937.6817999999985</v>
      </c>
      <c r="J24" s="330">
        <f>IF(I24=0,"",I24/H24)</f>
        <v>-0.24966752714146881</v>
      </c>
      <c r="K24" s="735">
        <f>D24</f>
        <v>111150.72719999999</v>
      </c>
    </row>
    <row r="25" spans="1:11" ht="12.75" customHeight="1" x14ac:dyDescent="0.2">
      <c r="A25" s="39" t="s">
        <v>1051</v>
      </c>
      <c r="B25" s="169"/>
      <c r="C25" s="748"/>
      <c r="D25" s="745">
        <v>756254.19959999993</v>
      </c>
      <c r="E25" s="733"/>
      <c r="F25" s="733">
        <v>1929.02</v>
      </c>
      <c r="G25" s="733">
        <v>5787.0599999999995</v>
      </c>
      <c r="H25" s="733">
        <f t="shared" si="8"/>
        <v>189063.54989999998</v>
      </c>
      <c r="I25" s="44">
        <f>G25-H25</f>
        <v>-183276.48989999999</v>
      </c>
      <c r="J25" s="330">
        <f>IF(I25=0,"",I25/H25)</f>
        <v>-0.96939092700279406</v>
      </c>
      <c r="K25" s="735">
        <f>D25</f>
        <v>756254.19959999993</v>
      </c>
    </row>
    <row r="26" spans="1:11" ht="12.75" customHeight="1" x14ac:dyDescent="0.2">
      <c r="A26" s="39" t="s">
        <v>1052</v>
      </c>
      <c r="B26" s="169"/>
      <c r="C26" s="748"/>
      <c r="D26" s="745"/>
      <c r="E26" s="733"/>
      <c r="F26" s="733"/>
      <c r="G26" s="733"/>
      <c r="H26" s="733"/>
      <c r="I26" s="44">
        <f t="shared" si="6"/>
        <v>0</v>
      </c>
      <c r="J26" s="330" t="str">
        <f t="shared" si="7"/>
        <v/>
      </c>
      <c r="K26" s="735"/>
    </row>
    <row r="27" spans="1:11" ht="12.75" customHeight="1" x14ac:dyDescent="0.2">
      <c r="A27" s="39" t="s">
        <v>1053</v>
      </c>
      <c r="B27" s="169"/>
      <c r="C27" s="748"/>
      <c r="D27" s="745"/>
      <c r="E27" s="733"/>
      <c r="F27" s="733"/>
      <c r="G27" s="733"/>
      <c r="H27" s="733"/>
      <c r="I27" s="44">
        <f t="shared" si="6"/>
        <v>0</v>
      </c>
      <c r="J27" s="330" t="str">
        <f t="shared" si="7"/>
        <v/>
      </c>
      <c r="K27" s="735"/>
    </row>
    <row r="28" spans="1:11" ht="12.75" customHeight="1" x14ac:dyDescent="0.2">
      <c r="A28" s="39" t="s">
        <v>1054</v>
      </c>
      <c r="B28" s="169"/>
      <c r="C28" s="748"/>
      <c r="D28" s="745"/>
      <c r="E28" s="733"/>
      <c r="F28" s="733"/>
      <c r="G28" s="733"/>
      <c r="H28" s="733"/>
      <c r="I28" s="44">
        <f t="shared" si="6"/>
        <v>0</v>
      </c>
      <c r="J28" s="330" t="str">
        <f t="shared" si="7"/>
        <v/>
      </c>
      <c r="K28" s="735"/>
    </row>
    <row r="29" spans="1:11" ht="12.75" customHeight="1" x14ac:dyDescent="0.2">
      <c r="A29" s="39" t="s">
        <v>1055</v>
      </c>
      <c r="B29" s="169">
        <v>2</v>
      </c>
      <c r="C29" s="748"/>
      <c r="D29" s="745"/>
      <c r="E29" s="733"/>
      <c r="F29" s="733"/>
      <c r="G29" s="733"/>
      <c r="H29" s="733"/>
      <c r="I29" s="44">
        <f t="shared" si="6"/>
        <v>0</v>
      </c>
      <c r="J29" s="330" t="str">
        <f t="shared" si="7"/>
        <v/>
      </c>
      <c r="K29" s="735"/>
    </row>
    <row r="30" spans="1:11" ht="12.75" customHeight="1" x14ac:dyDescent="0.2">
      <c r="A30" s="87" t="s">
        <v>430</v>
      </c>
      <c r="B30" s="169"/>
      <c r="C30" s="516">
        <f t="shared" ref="C30:K30" si="9">SUM(C18:C29)</f>
        <v>0</v>
      </c>
      <c r="D30" s="475">
        <f t="shared" si="9"/>
        <v>15070251.657600002</v>
      </c>
      <c r="E30" s="430">
        <f t="shared" si="9"/>
        <v>0</v>
      </c>
      <c r="F30" s="430">
        <f>SUM(F18:F29)</f>
        <v>758611.09999999986</v>
      </c>
      <c r="G30" s="430">
        <f>SUM(G18:G29)</f>
        <v>2275833.2999999998</v>
      </c>
      <c r="H30" s="430">
        <f>SUM(H18:H29)</f>
        <v>3767562.9144000006</v>
      </c>
      <c r="I30" s="430">
        <f t="shared" si="6"/>
        <v>-1491729.6144000008</v>
      </c>
      <c r="J30" s="431">
        <f>IF(I30=0,"",I30/H30)</f>
        <v>-0.39594020014860581</v>
      </c>
      <c r="K30" s="513">
        <f t="shared" si="9"/>
        <v>15070251.657600002</v>
      </c>
    </row>
    <row r="31" spans="1:11" ht="12.75" customHeight="1" x14ac:dyDescent="0.2">
      <c r="A31" s="565" t="s">
        <v>722</v>
      </c>
      <c r="B31" s="169">
        <v>4</v>
      </c>
      <c r="C31" s="173"/>
      <c r="D31" s="303" t="e">
        <f>IF(D30=0,"",(D30/C30)-1)</f>
        <v>#DIV/0!</v>
      </c>
      <c r="E31" s="303" t="str">
        <f>IF(E30=0,"",(E30/C30)-1)</f>
        <v/>
      </c>
      <c r="F31" s="303"/>
      <c r="G31" s="303"/>
      <c r="H31" s="303"/>
      <c r="I31" s="303"/>
      <c r="J31" s="344"/>
      <c r="K31" s="312" t="e">
        <f>IF(K30=0,"",(K30/C30)-1)</f>
        <v>#DIV/0!</v>
      </c>
    </row>
    <row r="32" spans="1:11" ht="5.0999999999999996" customHeight="1" x14ac:dyDescent="0.2">
      <c r="A32" s="42"/>
      <c r="B32" s="169"/>
      <c r="C32" s="40"/>
      <c r="D32" s="104"/>
      <c r="E32" s="103"/>
      <c r="F32" s="103"/>
      <c r="G32" s="103"/>
      <c r="H32" s="103"/>
      <c r="I32" s="103"/>
      <c r="J32" s="330"/>
      <c r="K32" s="266"/>
    </row>
    <row r="33" spans="1:11" ht="12.75" customHeight="1" x14ac:dyDescent="0.2">
      <c r="A33" s="566" t="s">
        <v>431</v>
      </c>
      <c r="B33" s="169"/>
      <c r="C33" s="40"/>
      <c r="D33" s="104"/>
      <c r="E33" s="103"/>
      <c r="F33" s="103"/>
      <c r="G33" s="103"/>
      <c r="H33" s="103"/>
      <c r="I33" s="103"/>
      <c r="J33" s="330"/>
      <c r="K33" s="266"/>
    </row>
    <row r="34" spans="1:11" ht="12.75" customHeight="1" x14ac:dyDescent="0.2">
      <c r="A34" s="518" t="s">
        <v>490</v>
      </c>
      <c r="B34" s="169"/>
      <c r="C34" s="748"/>
      <c r="D34" s="745">
        <v>904436295.83980572</v>
      </c>
      <c r="E34" s="733"/>
      <c r="F34" s="733">
        <v>69312148.00999999</v>
      </c>
      <c r="G34" s="733">
        <v>203579051.99000001</v>
      </c>
      <c r="H34" s="733">
        <f t="shared" ref="H34:H44" si="10">D34/12*3</f>
        <v>226109073.95995143</v>
      </c>
      <c r="I34" s="44">
        <f t="shared" ref="I34:I46" si="11">G34-H34</f>
        <v>-22530021.969951421</v>
      </c>
      <c r="J34" s="330">
        <f t="shared" ref="J34:J45" si="12">IF(I34=0,"",I34/H34)</f>
        <v>-9.9642272534104279E-2</v>
      </c>
      <c r="K34" s="735">
        <f t="shared" ref="K34:K42" si="13">D34</f>
        <v>904436295.83980572</v>
      </c>
    </row>
    <row r="35" spans="1:11" ht="12.75" customHeight="1" x14ac:dyDescent="0.2">
      <c r="A35" s="518" t="s">
        <v>1048</v>
      </c>
      <c r="B35" s="169"/>
      <c r="C35" s="748"/>
      <c r="D35" s="745">
        <v>188647083.87682125</v>
      </c>
      <c r="E35" s="733"/>
      <c r="F35" s="733">
        <v>14020084.340000015</v>
      </c>
      <c r="G35" s="733">
        <v>42235090.089999989</v>
      </c>
      <c r="H35" s="733">
        <f t="shared" si="10"/>
        <v>47161770.969205312</v>
      </c>
      <c r="I35" s="44">
        <f t="shared" si="11"/>
        <v>-4926680.8792053238</v>
      </c>
      <c r="J35" s="330">
        <f t="shared" si="12"/>
        <v>-0.1044634410022949</v>
      </c>
      <c r="K35" s="735">
        <f t="shared" si="13"/>
        <v>188647083.87682125</v>
      </c>
    </row>
    <row r="36" spans="1:11" ht="12.75" customHeight="1" x14ac:dyDescent="0.2">
      <c r="A36" s="518" t="s">
        <v>427</v>
      </c>
      <c r="B36" s="169"/>
      <c r="C36" s="748"/>
      <c r="D36" s="745">
        <v>70300830.27188544</v>
      </c>
      <c r="E36" s="733"/>
      <c r="F36" s="733">
        <v>5206366.5299999993</v>
      </c>
      <c r="G36" s="733">
        <v>15633926.430000002</v>
      </c>
      <c r="H36" s="733">
        <f t="shared" si="10"/>
        <v>17575207.56797136</v>
      </c>
      <c r="I36" s="44">
        <f t="shared" si="11"/>
        <v>-1941281.1379713584</v>
      </c>
      <c r="J36" s="330">
        <f t="shared" si="12"/>
        <v>-0.11045565922698421</v>
      </c>
      <c r="K36" s="735">
        <f t="shared" si="13"/>
        <v>70300830.27188544</v>
      </c>
    </row>
    <row r="37" spans="1:11" ht="12.75" customHeight="1" x14ac:dyDescent="0.2">
      <c r="A37" s="518" t="s">
        <v>539</v>
      </c>
      <c r="B37" s="169"/>
      <c r="C37" s="748"/>
      <c r="D37" s="745">
        <v>73644368.523901194</v>
      </c>
      <c r="E37" s="733"/>
      <c r="F37" s="733">
        <v>8811053.3900000043</v>
      </c>
      <c r="G37" s="733">
        <v>25467442.929999996</v>
      </c>
      <c r="H37" s="733">
        <f t="shared" si="10"/>
        <v>18411092.130975299</v>
      </c>
      <c r="I37" s="44">
        <f t="shared" si="11"/>
        <v>7056350.7990246974</v>
      </c>
      <c r="J37" s="330">
        <f t="shared" si="12"/>
        <v>0.38326628039370408</v>
      </c>
      <c r="K37" s="735">
        <f t="shared" si="13"/>
        <v>73644368.523901194</v>
      </c>
    </row>
    <row r="38" spans="1:11" ht="12.75" customHeight="1" x14ac:dyDescent="0.2">
      <c r="A38" s="518" t="s">
        <v>429</v>
      </c>
      <c r="B38" s="169"/>
      <c r="C38" s="748"/>
      <c r="D38" s="745">
        <v>70366153.174669325</v>
      </c>
      <c r="E38" s="733"/>
      <c r="F38" s="733">
        <v>313102.51</v>
      </c>
      <c r="G38" s="733">
        <v>544994.56000000006</v>
      </c>
      <c r="H38" s="733">
        <f t="shared" si="10"/>
        <v>17591538.293667331</v>
      </c>
      <c r="I38" s="44">
        <f t="shared" si="11"/>
        <v>-17046543.733667333</v>
      </c>
      <c r="J38" s="330">
        <f t="shared" si="12"/>
        <v>-0.96901950523586744</v>
      </c>
      <c r="K38" s="735">
        <f t="shared" si="13"/>
        <v>70366153.174669325</v>
      </c>
    </row>
    <row r="39" spans="1:11" ht="12.75" customHeight="1" x14ac:dyDescent="0.2">
      <c r="A39" s="518" t="s">
        <v>1049</v>
      </c>
      <c r="B39" s="169"/>
      <c r="C39" s="748"/>
      <c r="D39" s="745">
        <v>24659111.788440011</v>
      </c>
      <c r="E39" s="733"/>
      <c r="F39" s="733">
        <v>2352260.3200000008</v>
      </c>
      <c r="G39" s="733">
        <v>6941824.6500000013</v>
      </c>
      <c r="H39" s="733">
        <f t="shared" si="10"/>
        <v>6164777.9471100029</v>
      </c>
      <c r="I39" s="44">
        <f>G39-H39</f>
        <v>777046.70288999844</v>
      </c>
      <c r="J39" s="330">
        <f>IF(I39=0,"",I39/H39)</f>
        <v>0.12604617871991181</v>
      </c>
      <c r="K39" s="735">
        <f t="shared" si="13"/>
        <v>24659111.788440011</v>
      </c>
    </row>
    <row r="40" spans="1:11" ht="12.75" customHeight="1" x14ac:dyDescent="0.2">
      <c r="A40" s="518" t="s">
        <v>1050</v>
      </c>
      <c r="B40" s="169"/>
      <c r="C40" s="748"/>
      <c r="D40" s="745">
        <v>4232876.804076002</v>
      </c>
      <c r="E40" s="733"/>
      <c r="F40" s="733">
        <v>341642.45</v>
      </c>
      <c r="G40" s="733">
        <v>999831.74999999988</v>
      </c>
      <c r="H40" s="733">
        <f t="shared" si="10"/>
        <v>1058219.2010190005</v>
      </c>
      <c r="I40" s="44">
        <f>G40-H40</f>
        <v>-58387.451019000611</v>
      </c>
      <c r="J40" s="330">
        <f>IF(I40=0,"",I40/H40)</f>
        <v>-5.5175195236277189E-2</v>
      </c>
      <c r="K40" s="735">
        <f t="shared" si="13"/>
        <v>4232876.804076002</v>
      </c>
    </row>
    <row r="41" spans="1:11" ht="12.75" customHeight="1" x14ac:dyDescent="0.2">
      <c r="A41" s="518" t="s">
        <v>1051</v>
      </c>
      <c r="B41" s="169"/>
      <c r="C41" s="748"/>
      <c r="D41" s="745">
        <v>7812877.275000005</v>
      </c>
      <c r="E41" s="733"/>
      <c r="F41" s="733">
        <v>366740.7600000003</v>
      </c>
      <c r="G41" s="733">
        <v>1094718.850000001</v>
      </c>
      <c r="H41" s="733">
        <f t="shared" si="10"/>
        <v>1953219.3187500013</v>
      </c>
      <c r="I41" s="44">
        <f>G41-H41</f>
        <v>-858500.46875000023</v>
      </c>
      <c r="J41" s="330">
        <f>IF(I41=0,"",I41/H41)</f>
        <v>-0.43953101451987148</v>
      </c>
      <c r="K41" s="735">
        <f t="shared" si="13"/>
        <v>7812877.275000005</v>
      </c>
    </row>
    <row r="42" spans="1:11" ht="12.75" customHeight="1" x14ac:dyDescent="0.2">
      <c r="A42" s="518" t="s">
        <v>1052</v>
      </c>
      <c r="B42" s="169"/>
      <c r="C42" s="748"/>
      <c r="D42" s="745">
        <v>46854856.603799991</v>
      </c>
      <c r="E42" s="733"/>
      <c r="F42" s="733">
        <v>5690059.459999999</v>
      </c>
      <c r="G42" s="733">
        <v>17998512.739999991</v>
      </c>
      <c r="H42" s="733">
        <f t="shared" si="10"/>
        <v>11713714.150949998</v>
      </c>
      <c r="I42" s="44">
        <f t="shared" si="11"/>
        <v>6284798.5890499931</v>
      </c>
      <c r="J42" s="330">
        <f t="shared" si="12"/>
        <v>0.53653337515840671</v>
      </c>
      <c r="K42" s="735">
        <f t="shared" si="13"/>
        <v>46854856.603799991</v>
      </c>
    </row>
    <row r="43" spans="1:11" ht="12.75" customHeight="1" x14ac:dyDescent="0.2">
      <c r="A43" s="518" t="s">
        <v>1053</v>
      </c>
      <c r="B43" s="169"/>
      <c r="C43" s="748"/>
      <c r="D43" s="745"/>
      <c r="E43" s="733"/>
      <c r="F43" s="733"/>
      <c r="G43" s="733"/>
      <c r="H43" s="733"/>
      <c r="I43" s="44">
        <f t="shared" si="11"/>
        <v>0</v>
      </c>
      <c r="J43" s="330" t="str">
        <f t="shared" si="12"/>
        <v/>
      </c>
      <c r="K43" s="735"/>
    </row>
    <row r="44" spans="1:11" ht="12.75" customHeight="1" x14ac:dyDescent="0.2">
      <c r="A44" s="518" t="s">
        <v>1054</v>
      </c>
      <c r="B44" s="169"/>
      <c r="C44" s="748"/>
      <c r="D44" s="745">
        <v>24172767.795784086</v>
      </c>
      <c r="E44" s="733"/>
      <c r="F44" s="733">
        <v>1959975.2500000005</v>
      </c>
      <c r="G44" s="733">
        <v>6029659.629999999</v>
      </c>
      <c r="H44" s="733">
        <f t="shared" si="10"/>
        <v>6043191.9489460215</v>
      </c>
      <c r="I44" s="44">
        <f t="shared" si="11"/>
        <v>-13532.31894602254</v>
      </c>
      <c r="J44" s="330">
        <f t="shared" si="12"/>
        <v>-2.2392667749669411E-3</v>
      </c>
      <c r="K44" s="735">
        <f>D44</f>
        <v>24172767.795784086</v>
      </c>
    </row>
    <row r="45" spans="1:11" ht="12.75" customHeight="1" x14ac:dyDescent="0.2">
      <c r="A45" s="518" t="s">
        <v>1055</v>
      </c>
      <c r="B45" s="169">
        <v>2</v>
      </c>
      <c r="C45" s="748"/>
      <c r="D45" s="745"/>
      <c r="E45" s="733"/>
      <c r="F45" s="733"/>
      <c r="G45" s="733"/>
      <c r="H45" s="733"/>
      <c r="I45" s="44">
        <f t="shared" si="11"/>
        <v>0</v>
      </c>
      <c r="J45" s="330" t="str">
        <f t="shared" si="12"/>
        <v/>
      </c>
      <c r="K45" s="735"/>
    </row>
    <row r="46" spans="1:11" ht="12.75" customHeight="1" x14ac:dyDescent="0.2">
      <c r="A46" s="87" t="s">
        <v>432</v>
      </c>
      <c r="B46" s="169"/>
      <c r="C46" s="516">
        <f t="shared" ref="C46:K46" si="14">SUM(C34:C45)</f>
        <v>0</v>
      </c>
      <c r="D46" s="475">
        <f t="shared" si="14"/>
        <v>1415127221.9541829</v>
      </c>
      <c r="E46" s="430">
        <f t="shared" si="14"/>
        <v>0</v>
      </c>
      <c r="F46" s="430">
        <f>SUM(F34:F45)</f>
        <v>108373433.02000003</v>
      </c>
      <c r="G46" s="430">
        <f>SUM(G34:G45)</f>
        <v>320525053.62</v>
      </c>
      <c r="H46" s="430">
        <f>SUM(H34:H45)</f>
        <v>353781805.48854572</v>
      </c>
      <c r="I46" s="430">
        <f t="shared" si="11"/>
        <v>-33256751.868545711</v>
      </c>
      <c r="J46" s="431">
        <f>IF(I46=0,"",I46/H46)</f>
        <v>-9.4003567601846208E-2</v>
      </c>
      <c r="K46" s="513">
        <f t="shared" si="14"/>
        <v>1415127221.9541829</v>
      </c>
    </row>
    <row r="47" spans="1:11" ht="12.75" customHeight="1" x14ac:dyDescent="0.2">
      <c r="A47" s="565" t="s">
        <v>722</v>
      </c>
      <c r="B47" s="169">
        <v>4</v>
      </c>
      <c r="C47" s="399"/>
      <c r="D47" s="303" t="e">
        <f>IF(D46=0,"",(D46/C46)-1)</f>
        <v>#DIV/0!</v>
      </c>
      <c r="E47" s="303" t="str">
        <f>IF(E46=0,"",(E46/C46)-1)</f>
        <v/>
      </c>
      <c r="F47" s="303"/>
      <c r="G47" s="303"/>
      <c r="H47" s="303"/>
      <c r="I47" s="401"/>
      <c r="J47" s="403"/>
      <c r="K47" s="312" t="e">
        <f>IF(K46=0,"",(K46/C46)-1)</f>
        <v>#DIV/0!</v>
      </c>
    </row>
    <row r="48" spans="1:11" ht="5.0999999999999996" customHeight="1" x14ac:dyDescent="0.2">
      <c r="A48" s="42"/>
      <c r="B48" s="169"/>
      <c r="C48" s="400"/>
      <c r="D48" s="104"/>
      <c r="E48" s="103"/>
      <c r="F48" s="103"/>
      <c r="G48" s="103"/>
      <c r="H48" s="103"/>
      <c r="I48" s="402"/>
      <c r="J48" s="404"/>
      <c r="K48" s="266"/>
    </row>
    <row r="49" spans="1:11" ht="12.75" customHeight="1" x14ac:dyDescent="0.2">
      <c r="A49" s="92" t="s">
        <v>450</v>
      </c>
      <c r="B49" s="233"/>
      <c r="C49" s="243">
        <f>C14+C30+C46</f>
        <v>0</v>
      </c>
      <c r="D49" s="74">
        <f t="shared" ref="D49:K49" si="15">D14+D30+D46</f>
        <v>1483847874.727263</v>
      </c>
      <c r="E49" s="73">
        <f t="shared" si="15"/>
        <v>0</v>
      </c>
      <c r="F49" s="73">
        <f t="shared" si="15"/>
        <v>115389081.62000002</v>
      </c>
      <c r="G49" s="73">
        <f t="shared" si="15"/>
        <v>336425264.61000001</v>
      </c>
      <c r="H49" s="73">
        <f t="shared" si="15"/>
        <v>370961968.68181574</v>
      </c>
      <c r="I49" s="73">
        <f>G49-H49</f>
        <v>-34536704.071815729</v>
      </c>
      <c r="J49" s="331">
        <f>IF(I49=0,"",I49/H49)</f>
        <v>-9.3100390302917571E-2</v>
      </c>
      <c r="K49" s="145">
        <f t="shared" si="15"/>
        <v>1483847874.727263</v>
      </c>
    </row>
    <row r="50" spans="1:11" ht="5.0999999999999996" customHeight="1" x14ac:dyDescent="0.2">
      <c r="A50" s="42"/>
      <c r="B50" s="169"/>
      <c r="C50" s="173"/>
      <c r="D50" s="303" t="e">
        <f>IF(D49=0,"",(D49/C49)-1)</f>
        <v>#DIV/0!</v>
      </c>
      <c r="E50" s="303" t="str">
        <f>IF(E49=0,"",(E49/C49)-1)</f>
        <v/>
      </c>
      <c r="F50" s="303"/>
      <c r="G50" s="303"/>
      <c r="H50" s="303"/>
      <c r="I50" s="303"/>
      <c r="J50" s="344"/>
      <c r="K50" s="312" t="e">
        <f>IF(K49=0,"",(K49/C49)-1)</f>
        <v>#DIV/0!</v>
      </c>
    </row>
    <row r="51" spans="1:11" ht="12.75" customHeight="1" x14ac:dyDescent="0.2">
      <c r="A51" s="350" t="s">
        <v>885</v>
      </c>
      <c r="B51" s="248"/>
      <c r="C51" s="351"/>
      <c r="D51" s="352"/>
      <c r="E51" s="353"/>
      <c r="F51" s="353"/>
      <c r="G51" s="353"/>
      <c r="H51" s="353"/>
      <c r="I51" s="353"/>
      <c r="J51" s="353"/>
      <c r="K51" s="354"/>
    </row>
    <row r="52" spans="1:11" ht="5.0999999999999996" customHeight="1" x14ac:dyDescent="0.2">
      <c r="A52" s="42"/>
      <c r="B52" s="169"/>
      <c r="C52" s="173"/>
      <c r="D52" s="310"/>
      <c r="E52" s="146"/>
      <c r="F52" s="146"/>
      <c r="G52" s="146"/>
      <c r="H52" s="146"/>
      <c r="I52" s="146"/>
      <c r="J52" s="146"/>
      <c r="K52" s="311"/>
    </row>
    <row r="53" spans="1:11" ht="12.75" customHeight="1" x14ac:dyDescent="0.2">
      <c r="A53" s="566" t="s">
        <v>556</v>
      </c>
      <c r="B53" s="169"/>
      <c r="C53" s="40"/>
      <c r="D53" s="104"/>
      <c r="E53" s="103"/>
      <c r="F53" s="103"/>
      <c r="G53" s="103"/>
      <c r="H53" s="103"/>
      <c r="I53" s="103"/>
      <c r="J53" s="330"/>
      <c r="K53" s="266"/>
    </row>
    <row r="54" spans="1:11" ht="12.75" customHeight="1" x14ac:dyDescent="0.2">
      <c r="A54" s="39" t="s">
        <v>490</v>
      </c>
      <c r="B54" s="169"/>
      <c r="C54" s="748"/>
      <c r="D54" s="745"/>
      <c r="E54" s="733"/>
      <c r="F54" s="733"/>
      <c r="G54" s="733"/>
      <c r="H54" s="733"/>
      <c r="I54" s="44">
        <f t="shared" ref="I54:I67" si="16">G54-H54</f>
        <v>0</v>
      </c>
      <c r="J54" s="330" t="str">
        <f t="shared" ref="J54:J66" si="17">IF(I54=0,"",I54/H54)</f>
        <v/>
      </c>
      <c r="K54" s="735"/>
    </row>
    <row r="55" spans="1:11" ht="12.75" customHeight="1" x14ac:dyDescent="0.2">
      <c r="A55" s="39" t="s">
        <v>1048</v>
      </c>
      <c r="B55" s="169"/>
      <c r="C55" s="748"/>
      <c r="D55" s="745"/>
      <c r="E55" s="733"/>
      <c r="F55" s="733"/>
      <c r="G55" s="733"/>
      <c r="H55" s="733"/>
      <c r="I55" s="44">
        <f t="shared" si="16"/>
        <v>0</v>
      </c>
      <c r="J55" s="330" t="str">
        <f t="shared" si="17"/>
        <v/>
      </c>
      <c r="K55" s="735"/>
    </row>
    <row r="56" spans="1:11" ht="12.75" customHeight="1" x14ac:dyDescent="0.2">
      <c r="A56" s="39" t="s">
        <v>427</v>
      </c>
      <c r="B56" s="169"/>
      <c r="C56" s="748"/>
      <c r="D56" s="745"/>
      <c r="E56" s="733"/>
      <c r="F56" s="733"/>
      <c r="G56" s="733"/>
      <c r="H56" s="733"/>
      <c r="I56" s="44">
        <f t="shared" si="16"/>
        <v>0</v>
      </c>
      <c r="J56" s="330" t="str">
        <f t="shared" si="17"/>
        <v/>
      </c>
      <c r="K56" s="735"/>
    </row>
    <row r="57" spans="1:11" ht="12.75" customHeight="1" x14ac:dyDescent="0.2">
      <c r="A57" s="39" t="s">
        <v>539</v>
      </c>
      <c r="B57" s="169"/>
      <c r="C57" s="748"/>
      <c r="D57" s="745"/>
      <c r="E57" s="733"/>
      <c r="F57" s="733"/>
      <c r="G57" s="733"/>
      <c r="H57" s="733"/>
      <c r="I57" s="44">
        <f>G57-H57</f>
        <v>0</v>
      </c>
      <c r="J57" s="330" t="str">
        <f>IF(I57=0,"",I57/H57)</f>
        <v/>
      </c>
      <c r="K57" s="735"/>
    </row>
    <row r="58" spans="1:11" ht="12.75" customHeight="1" x14ac:dyDescent="0.2">
      <c r="A58" s="39" t="s">
        <v>429</v>
      </c>
      <c r="B58" s="169"/>
      <c r="C58" s="748"/>
      <c r="D58" s="745"/>
      <c r="E58" s="733"/>
      <c r="F58" s="733"/>
      <c r="G58" s="733"/>
      <c r="H58" s="733"/>
      <c r="I58" s="44">
        <f>G58-H58</f>
        <v>0</v>
      </c>
      <c r="J58" s="330" t="str">
        <f>IF(I58=0,"",I58/H58)</f>
        <v/>
      </c>
      <c r="K58" s="735"/>
    </row>
    <row r="59" spans="1:11" ht="12.75" customHeight="1" x14ac:dyDescent="0.2">
      <c r="A59" s="39" t="s">
        <v>1049</v>
      </c>
      <c r="B59" s="169"/>
      <c r="C59" s="748"/>
      <c r="D59" s="745"/>
      <c r="E59" s="733"/>
      <c r="F59" s="733"/>
      <c r="G59" s="733"/>
      <c r="H59" s="733"/>
      <c r="I59" s="44">
        <f>G59-H59</f>
        <v>0</v>
      </c>
      <c r="J59" s="330" t="str">
        <f>IF(I59=0,"",I59/H59)</f>
        <v/>
      </c>
      <c r="K59" s="735"/>
    </row>
    <row r="60" spans="1:11" ht="12.75" customHeight="1" x14ac:dyDescent="0.2">
      <c r="A60" s="39" t="s">
        <v>1050</v>
      </c>
      <c r="B60" s="169"/>
      <c r="C60" s="748"/>
      <c r="D60" s="745"/>
      <c r="E60" s="733"/>
      <c r="F60" s="733"/>
      <c r="G60" s="733"/>
      <c r="H60" s="733"/>
      <c r="I60" s="44">
        <f>G60-H60</f>
        <v>0</v>
      </c>
      <c r="J60" s="330" t="str">
        <f>IF(I60=0,"",I60/H60)</f>
        <v/>
      </c>
      <c r="K60" s="735"/>
    </row>
    <row r="61" spans="1:11" ht="12.75" customHeight="1" x14ac:dyDescent="0.2">
      <c r="A61" s="39" t="s">
        <v>1051</v>
      </c>
      <c r="B61" s="169"/>
      <c r="C61" s="748"/>
      <c r="D61" s="745"/>
      <c r="E61" s="733"/>
      <c r="F61" s="733"/>
      <c r="G61" s="733"/>
      <c r="H61" s="733"/>
      <c r="I61" s="44">
        <f>G61-H61</f>
        <v>0</v>
      </c>
      <c r="J61" s="330" t="str">
        <f>IF(I61=0,"",I61/H61)</f>
        <v/>
      </c>
      <c r="K61" s="735"/>
    </row>
    <row r="62" spans="1:11" ht="12.75" customHeight="1" x14ac:dyDescent="0.2">
      <c r="A62" s="39" t="s">
        <v>1052</v>
      </c>
      <c r="B62" s="169"/>
      <c r="C62" s="748"/>
      <c r="D62" s="745"/>
      <c r="E62" s="733"/>
      <c r="F62" s="733"/>
      <c r="G62" s="733"/>
      <c r="H62" s="733"/>
      <c r="I62" s="44">
        <f t="shared" si="16"/>
        <v>0</v>
      </c>
      <c r="J62" s="330" t="str">
        <f t="shared" si="17"/>
        <v/>
      </c>
      <c r="K62" s="735"/>
    </row>
    <row r="63" spans="1:11" ht="12.75" customHeight="1" x14ac:dyDescent="0.2">
      <c r="A63" s="39" t="s">
        <v>557</v>
      </c>
      <c r="B63" s="169"/>
      <c r="C63" s="748"/>
      <c r="D63" s="745"/>
      <c r="E63" s="733"/>
      <c r="F63" s="733"/>
      <c r="G63" s="733"/>
      <c r="H63" s="733"/>
      <c r="I63" s="44">
        <f>G63-H63</f>
        <v>0</v>
      </c>
      <c r="J63" s="330" t="str">
        <f>IF(I63=0,"",I63/H63)</f>
        <v/>
      </c>
      <c r="K63" s="735"/>
    </row>
    <row r="64" spans="1:11" ht="12.75" customHeight="1" x14ac:dyDescent="0.2">
      <c r="A64" s="39" t="s">
        <v>1053</v>
      </c>
      <c r="B64" s="169"/>
      <c r="C64" s="748"/>
      <c r="D64" s="745"/>
      <c r="E64" s="733"/>
      <c r="F64" s="733"/>
      <c r="G64" s="733"/>
      <c r="H64" s="733"/>
      <c r="I64" s="44">
        <f t="shared" si="16"/>
        <v>0</v>
      </c>
      <c r="J64" s="330" t="str">
        <f t="shared" si="17"/>
        <v/>
      </c>
      <c r="K64" s="735"/>
    </row>
    <row r="65" spans="1:11" ht="12.75" customHeight="1" x14ac:dyDescent="0.2">
      <c r="A65" s="39" t="s">
        <v>1054</v>
      </c>
      <c r="B65" s="169"/>
      <c r="C65" s="748"/>
      <c r="D65" s="745"/>
      <c r="E65" s="733"/>
      <c r="F65" s="733"/>
      <c r="G65" s="733"/>
      <c r="H65" s="733"/>
      <c r="I65" s="44">
        <f t="shared" si="16"/>
        <v>0</v>
      </c>
      <c r="J65" s="330" t="str">
        <f t="shared" si="17"/>
        <v/>
      </c>
      <c r="K65" s="735"/>
    </row>
    <row r="66" spans="1:11" ht="12.75" customHeight="1" x14ac:dyDescent="0.2">
      <c r="A66" s="39" t="s">
        <v>1055</v>
      </c>
      <c r="B66" s="169"/>
      <c r="C66" s="748"/>
      <c r="D66" s="745"/>
      <c r="E66" s="733"/>
      <c r="F66" s="733"/>
      <c r="G66" s="733"/>
      <c r="H66" s="733"/>
      <c r="I66" s="44">
        <f t="shared" si="16"/>
        <v>0</v>
      </c>
      <c r="J66" s="330" t="str">
        <f t="shared" si="17"/>
        <v/>
      </c>
      <c r="K66" s="735"/>
    </row>
    <row r="67" spans="1:11" ht="12.75" customHeight="1" x14ac:dyDescent="0.2">
      <c r="A67" s="87" t="s">
        <v>770</v>
      </c>
      <c r="B67" s="169">
        <v>2</v>
      </c>
      <c r="C67" s="516">
        <f t="shared" ref="C67:K67" si="18">SUM(C54:C66)</f>
        <v>0</v>
      </c>
      <c r="D67" s="475">
        <f t="shared" si="18"/>
        <v>0</v>
      </c>
      <c r="E67" s="430">
        <f t="shared" si="18"/>
        <v>0</v>
      </c>
      <c r="F67" s="430">
        <f>SUM(F54:F66)</f>
        <v>0</v>
      </c>
      <c r="G67" s="430">
        <f>SUM(G54:G66)</f>
        <v>0</v>
      </c>
      <c r="H67" s="430">
        <f>SUM(H54:H66)</f>
        <v>0</v>
      </c>
      <c r="I67" s="430">
        <f t="shared" si="16"/>
        <v>0</v>
      </c>
      <c r="J67" s="431" t="str">
        <f>IF(I67=0,"",I67/H67)</f>
        <v/>
      </c>
      <c r="K67" s="513">
        <f t="shared" si="18"/>
        <v>0</v>
      </c>
    </row>
    <row r="68" spans="1:11" ht="12.75" customHeight="1" x14ac:dyDescent="0.2">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
      <c r="A69" s="42"/>
      <c r="B69" s="169"/>
      <c r="C69" s="40"/>
      <c r="D69" s="104"/>
      <c r="E69" s="103"/>
      <c r="F69" s="103"/>
      <c r="G69" s="103"/>
      <c r="H69" s="103"/>
      <c r="I69" s="103"/>
      <c r="J69" s="330"/>
      <c r="K69" s="266"/>
    </row>
    <row r="70" spans="1:11" ht="12.75" customHeight="1" x14ac:dyDescent="0.2">
      <c r="A70" s="566" t="s">
        <v>830</v>
      </c>
      <c r="B70" s="169"/>
      <c r="C70" s="40"/>
      <c r="D70" s="104"/>
      <c r="E70" s="103"/>
      <c r="F70" s="103"/>
      <c r="G70" s="103"/>
      <c r="H70" s="103"/>
      <c r="I70" s="103"/>
      <c r="J70" s="330"/>
      <c r="K70" s="266"/>
    </row>
    <row r="71" spans="1:11" ht="12.75" customHeight="1" x14ac:dyDescent="0.2">
      <c r="A71" s="518" t="s">
        <v>490</v>
      </c>
      <c r="B71" s="169"/>
      <c r="C71" s="748"/>
      <c r="D71" s="745">
        <v>582641.17447499989</v>
      </c>
      <c r="E71" s="733"/>
      <c r="F71" s="733">
        <v>51748.11</v>
      </c>
      <c r="G71" s="733">
        <v>155244.32999999999</v>
      </c>
      <c r="H71" s="733">
        <f t="shared" ref="H71" si="19">D71/12*3</f>
        <v>145660.29361874997</v>
      </c>
      <c r="I71" s="44">
        <f t="shared" ref="I71:I83" si="20">G71-H71</f>
        <v>9584.0363812500145</v>
      </c>
      <c r="J71" s="330">
        <f t="shared" ref="J71:J82" si="21">IF(I71=0,"",I71/H71)</f>
        <v>6.5797178785971633E-2</v>
      </c>
      <c r="K71" s="735">
        <f>D71</f>
        <v>582641.17447499989</v>
      </c>
    </row>
    <row r="72" spans="1:11" ht="12.75" customHeight="1" x14ac:dyDescent="0.2">
      <c r="A72" s="518" t="s">
        <v>1048</v>
      </c>
      <c r="B72" s="169"/>
      <c r="C72" s="748"/>
      <c r="D72" s="745"/>
      <c r="E72" s="733"/>
      <c r="F72" s="733"/>
      <c r="G72" s="733"/>
      <c r="H72" s="733"/>
      <c r="I72" s="44">
        <f t="shared" si="20"/>
        <v>0</v>
      </c>
      <c r="J72" s="330" t="str">
        <f t="shared" si="21"/>
        <v/>
      </c>
      <c r="K72" s="735"/>
    </row>
    <row r="73" spans="1:11" ht="12.75" customHeight="1" x14ac:dyDescent="0.2">
      <c r="A73" s="518" t="s">
        <v>427</v>
      </c>
      <c r="B73" s="169"/>
      <c r="C73" s="748"/>
      <c r="D73" s="745">
        <v>27003.628799999999</v>
      </c>
      <c r="E73" s="733"/>
      <c r="F73" s="733">
        <v>2254</v>
      </c>
      <c r="G73" s="733">
        <v>6762</v>
      </c>
      <c r="H73" s="733">
        <f t="shared" ref="H73" si="22">D73/12*3</f>
        <v>6750.9071999999996</v>
      </c>
      <c r="I73" s="44">
        <f t="shared" si="20"/>
        <v>11.092800000000352</v>
      </c>
      <c r="J73" s="330">
        <f t="shared" si="21"/>
        <v>1.6431569374854319E-3</v>
      </c>
      <c r="K73" s="735">
        <f t="shared" ref="K73:K77" si="23">D73</f>
        <v>27003.628799999999</v>
      </c>
    </row>
    <row r="74" spans="1:11" ht="12.75" customHeight="1" x14ac:dyDescent="0.2">
      <c r="A74" s="518" t="s">
        <v>539</v>
      </c>
      <c r="B74" s="169"/>
      <c r="C74" s="748"/>
      <c r="D74" s="745"/>
      <c r="E74" s="733"/>
      <c r="F74" s="733"/>
      <c r="G74" s="733"/>
      <c r="H74" s="733"/>
      <c r="I74" s="44">
        <f t="shared" si="20"/>
        <v>0</v>
      </c>
      <c r="J74" s="330" t="str">
        <f t="shared" si="21"/>
        <v/>
      </c>
      <c r="K74" s="735"/>
    </row>
    <row r="75" spans="1:11" ht="12.75" customHeight="1" x14ac:dyDescent="0.2">
      <c r="A75" s="518" t="s">
        <v>429</v>
      </c>
      <c r="B75" s="169"/>
      <c r="C75" s="748"/>
      <c r="D75" s="745">
        <v>62095.416074999994</v>
      </c>
      <c r="E75" s="733"/>
      <c r="F75" s="733"/>
      <c r="G75" s="733"/>
      <c r="H75" s="733">
        <f t="shared" ref="H75" si="24">D75/12*3</f>
        <v>15523.85401875</v>
      </c>
      <c r="I75" s="44">
        <f>G75-H75</f>
        <v>-15523.85401875</v>
      </c>
      <c r="J75" s="330">
        <f>IF(I75=0,"",I75/H75)</f>
        <v>-1</v>
      </c>
      <c r="K75" s="735">
        <f t="shared" si="23"/>
        <v>62095.416074999994</v>
      </c>
    </row>
    <row r="76" spans="1:11" ht="12.75" customHeight="1" x14ac:dyDescent="0.2">
      <c r="A76" s="518" t="s">
        <v>1049</v>
      </c>
      <c r="B76" s="169"/>
      <c r="C76" s="748"/>
      <c r="D76" s="745">
        <v>24952.949999999997</v>
      </c>
      <c r="E76" s="733"/>
      <c r="F76" s="733">
        <v>2500</v>
      </c>
      <c r="G76" s="733">
        <v>7500</v>
      </c>
      <c r="H76" s="733"/>
      <c r="I76" s="44">
        <f>G76-H76</f>
        <v>7500</v>
      </c>
      <c r="J76" s="330" t="e">
        <f>IF(I76=0,"",I76/H76)</f>
        <v>#DIV/0!</v>
      </c>
      <c r="K76" s="735">
        <f t="shared" si="23"/>
        <v>24952.949999999997</v>
      </c>
    </row>
    <row r="77" spans="1:11" ht="12.75" customHeight="1" x14ac:dyDescent="0.2">
      <c r="A77" s="518" t="s">
        <v>1050</v>
      </c>
      <c r="B77" s="169"/>
      <c r="C77" s="748"/>
      <c r="D77" s="745">
        <v>8166.4199999999992</v>
      </c>
      <c r="E77" s="733"/>
      <c r="F77" s="733">
        <v>600</v>
      </c>
      <c r="G77" s="733">
        <v>1800</v>
      </c>
      <c r="H77" s="733"/>
      <c r="I77" s="44">
        <f>G77-H77</f>
        <v>1800</v>
      </c>
      <c r="J77" s="330" t="e">
        <f>IF(I77=0,"",I77/H77)</f>
        <v>#DIV/0!</v>
      </c>
      <c r="K77" s="735">
        <f t="shared" si="23"/>
        <v>8166.4199999999992</v>
      </c>
    </row>
    <row r="78" spans="1:11" ht="12.75" customHeight="1" x14ac:dyDescent="0.2">
      <c r="A78" s="518" t="s">
        <v>1051</v>
      </c>
      <c r="B78" s="169"/>
      <c r="C78" s="748"/>
      <c r="D78" s="745"/>
      <c r="E78" s="733"/>
      <c r="F78" s="733"/>
      <c r="G78" s="733"/>
      <c r="H78" s="733"/>
      <c r="I78" s="44">
        <f>G78-H78</f>
        <v>0</v>
      </c>
      <c r="J78" s="330" t="str">
        <f>IF(I78=0,"",I78/H78)</f>
        <v/>
      </c>
      <c r="K78" s="735"/>
    </row>
    <row r="79" spans="1:11" ht="12.75" customHeight="1" x14ac:dyDescent="0.2">
      <c r="A79" s="518" t="s">
        <v>1052</v>
      </c>
      <c r="B79" s="169"/>
      <c r="C79" s="748"/>
      <c r="D79" s="745"/>
      <c r="E79" s="733"/>
      <c r="F79" s="733"/>
      <c r="G79" s="733"/>
      <c r="H79" s="733"/>
      <c r="I79" s="44">
        <f t="shared" si="20"/>
        <v>0</v>
      </c>
      <c r="J79" s="330" t="str">
        <f t="shared" si="21"/>
        <v/>
      </c>
      <c r="K79" s="735"/>
    </row>
    <row r="80" spans="1:11" ht="12.75" customHeight="1" x14ac:dyDescent="0.2">
      <c r="A80" s="518" t="s">
        <v>1053</v>
      </c>
      <c r="B80" s="169"/>
      <c r="C80" s="748"/>
      <c r="D80" s="745"/>
      <c r="E80" s="733"/>
      <c r="F80" s="733"/>
      <c r="G80" s="733"/>
      <c r="H80" s="733"/>
      <c r="I80" s="44">
        <f t="shared" si="20"/>
        <v>0</v>
      </c>
      <c r="J80" s="330" t="str">
        <f t="shared" si="21"/>
        <v/>
      </c>
      <c r="K80" s="735"/>
    </row>
    <row r="81" spans="1:11" ht="12.75" customHeight="1" x14ac:dyDescent="0.2">
      <c r="A81" s="518" t="s">
        <v>1054</v>
      </c>
      <c r="B81" s="169"/>
      <c r="C81" s="748"/>
      <c r="D81" s="745"/>
      <c r="E81" s="733"/>
      <c r="F81" s="733"/>
      <c r="G81" s="733"/>
      <c r="H81" s="733"/>
      <c r="I81" s="44">
        <f t="shared" si="20"/>
        <v>0</v>
      </c>
      <c r="J81" s="330" t="str">
        <f t="shared" si="21"/>
        <v/>
      </c>
      <c r="K81" s="735"/>
    </row>
    <row r="82" spans="1:11" ht="12.75" customHeight="1" x14ac:dyDescent="0.2">
      <c r="A82" s="518" t="s">
        <v>1055</v>
      </c>
      <c r="B82" s="169">
        <v>2</v>
      </c>
      <c r="C82" s="748"/>
      <c r="D82" s="745"/>
      <c r="E82" s="733"/>
      <c r="F82" s="733"/>
      <c r="G82" s="733"/>
      <c r="H82" s="733"/>
      <c r="I82" s="44">
        <f t="shared" si="20"/>
        <v>0</v>
      </c>
      <c r="J82" s="330" t="str">
        <f t="shared" si="21"/>
        <v/>
      </c>
      <c r="K82" s="735"/>
    </row>
    <row r="83" spans="1:11" ht="12.75" customHeight="1" x14ac:dyDescent="0.2">
      <c r="A83" s="87" t="s">
        <v>831</v>
      </c>
      <c r="B83" s="169"/>
      <c r="C83" s="516">
        <f t="shared" ref="C83:K83" si="25">SUM(C71:C82)</f>
        <v>0</v>
      </c>
      <c r="D83" s="475">
        <f t="shared" si="25"/>
        <v>704859.58934999979</v>
      </c>
      <c r="E83" s="430">
        <f t="shared" si="25"/>
        <v>0</v>
      </c>
      <c r="F83" s="430">
        <f>SUM(F71:F82)</f>
        <v>57102.11</v>
      </c>
      <c r="G83" s="430">
        <f>SUM(G71:G82)</f>
        <v>171306.33</v>
      </c>
      <c r="H83" s="430">
        <f>SUM(H71:H82)</f>
        <v>167935.05483749995</v>
      </c>
      <c r="I83" s="430">
        <f t="shared" si="20"/>
        <v>3371.2751625000383</v>
      </c>
      <c r="J83" s="431">
        <f>IF(I83=0,"",I83/H83)</f>
        <v>2.0074874574353797E-2</v>
      </c>
      <c r="K83" s="513">
        <f t="shared" si="25"/>
        <v>704859.58934999979</v>
      </c>
    </row>
    <row r="84" spans="1:11" ht="12.75" customHeight="1" x14ac:dyDescent="0.2">
      <c r="A84" s="565" t="s">
        <v>722</v>
      </c>
      <c r="B84" s="169">
        <v>4</v>
      </c>
      <c r="C84" s="173"/>
      <c r="D84" s="303" t="e">
        <f>IF(D83=0,"",(D83/C83)-1)</f>
        <v>#DIV/0!</v>
      </c>
      <c r="E84" s="303" t="str">
        <f>IF(E83=0,"",(E83/C83)-1)</f>
        <v/>
      </c>
      <c r="F84" s="303"/>
      <c r="G84" s="303"/>
      <c r="H84" s="303"/>
      <c r="I84" s="303"/>
      <c r="J84" s="344"/>
      <c r="K84" s="312" t="e">
        <f>IF(K83=0,"",(K83/C83)-1)</f>
        <v>#DIV/0!</v>
      </c>
    </row>
    <row r="85" spans="1:11" ht="5.0999999999999996" customHeight="1" x14ac:dyDescent="0.2">
      <c r="A85" s="42"/>
      <c r="B85" s="169"/>
      <c r="C85" s="40"/>
      <c r="D85" s="104"/>
      <c r="E85" s="103"/>
      <c r="F85" s="103"/>
      <c r="G85" s="103"/>
      <c r="H85" s="103"/>
      <c r="I85" s="103"/>
      <c r="J85" s="330"/>
      <c r="K85" s="266"/>
    </row>
    <row r="86" spans="1:11" ht="12.75" customHeight="1" x14ac:dyDescent="0.2">
      <c r="A86" s="566" t="s">
        <v>717</v>
      </c>
      <c r="B86" s="169"/>
      <c r="C86" s="40"/>
      <c r="D86" s="104"/>
      <c r="E86" s="103"/>
      <c r="F86" s="103"/>
      <c r="G86" s="103"/>
      <c r="H86" s="103"/>
      <c r="I86" s="103"/>
      <c r="J86" s="330"/>
      <c r="K86" s="266"/>
    </row>
    <row r="87" spans="1:11" ht="12.75" customHeight="1" x14ac:dyDescent="0.2">
      <c r="A87" s="518" t="s">
        <v>490</v>
      </c>
      <c r="B87" s="169"/>
      <c r="C87" s="748"/>
      <c r="D87" s="745">
        <v>6769587.5498149209</v>
      </c>
      <c r="E87" s="733"/>
      <c r="F87" s="733">
        <v>445193.4</v>
      </c>
      <c r="G87" s="733">
        <v>1384422.55</v>
      </c>
      <c r="H87" s="733">
        <f t="shared" ref="H87:H93" si="26">D87/12*3</f>
        <v>1692396.8874537302</v>
      </c>
      <c r="I87" s="44">
        <f t="shared" ref="I87:I99" si="27">G87-H87</f>
        <v>-307974.33745373017</v>
      </c>
      <c r="J87" s="330">
        <f t="shared" ref="J87:J98" si="28">IF(I87=0,"",I87/H87)</f>
        <v>-0.18197524454035616</v>
      </c>
      <c r="K87" s="735">
        <f>D87</f>
        <v>6769587.5498149209</v>
      </c>
    </row>
    <row r="88" spans="1:11" ht="12.75" customHeight="1" x14ac:dyDescent="0.2">
      <c r="A88" s="518" t="s">
        <v>1048</v>
      </c>
      <c r="B88" s="169"/>
      <c r="C88" s="748"/>
      <c r="D88" s="745">
        <v>570880.67137872009</v>
      </c>
      <c r="E88" s="733"/>
      <c r="F88" s="733">
        <v>34244.870000000003</v>
      </c>
      <c r="G88" s="733">
        <v>102734.61</v>
      </c>
      <c r="H88" s="733">
        <f t="shared" si="26"/>
        <v>142720.16784468002</v>
      </c>
      <c r="I88" s="44">
        <f t="shared" si="27"/>
        <v>-39985.557844680021</v>
      </c>
      <c r="J88" s="330">
        <f t="shared" si="28"/>
        <v>-0.2801675365754589</v>
      </c>
      <c r="K88" s="735">
        <f t="shared" ref="K88:K93" si="29">D88</f>
        <v>570880.67137872009</v>
      </c>
    </row>
    <row r="89" spans="1:11" ht="12.75" customHeight="1" x14ac:dyDescent="0.2">
      <c r="A89" s="518" t="s">
        <v>427</v>
      </c>
      <c r="B89" s="169"/>
      <c r="C89" s="748"/>
      <c r="D89" s="745">
        <v>890013.09891456028</v>
      </c>
      <c r="E89" s="733"/>
      <c r="F89" s="733">
        <v>63309.4</v>
      </c>
      <c r="G89" s="733">
        <v>189928.2</v>
      </c>
      <c r="H89" s="733">
        <f t="shared" si="26"/>
        <v>222503.27472864007</v>
      </c>
      <c r="I89" s="44">
        <f>G89-H89</f>
        <v>-32575.074728640058</v>
      </c>
      <c r="J89" s="330">
        <f>IF(I89=0,"",I89/H89)</f>
        <v>-0.14640267550384542</v>
      </c>
      <c r="K89" s="735">
        <f t="shared" si="29"/>
        <v>890013.09891456028</v>
      </c>
    </row>
    <row r="90" spans="1:11" ht="12.75" customHeight="1" x14ac:dyDescent="0.2">
      <c r="A90" s="518" t="s">
        <v>539</v>
      </c>
      <c r="B90" s="169"/>
      <c r="C90" s="748"/>
      <c r="D90" s="745">
        <v>1067347.5086988001</v>
      </c>
      <c r="E90" s="733"/>
      <c r="F90" s="733">
        <v>71460</v>
      </c>
      <c r="G90" s="733">
        <v>208368</v>
      </c>
      <c r="H90" s="733">
        <f t="shared" si="26"/>
        <v>266836.87717470003</v>
      </c>
      <c r="I90" s="44">
        <f>G90-H90</f>
        <v>-58468.877174700028</v>
      </c>
      <c r="J90" s="330">
        <f>IF(I90=0,"",I90/H90)</f>
        <v>-0.21911842843378815</v>
      </c>
      <c r="K90" s="735">
        <f t="shared" si="29"/>
        <v>1067347.5086988001</v>
      </c>
    </row>
    <row r="91" spans="1:11" ht="12.75" customHeight="1" x14ac:dyDescent="0.2">
      <c r="A91" s="518" t="s">
        <v>429</v>
      </c>
      <c r="B91" s="169"/>
      <c r="C91" s="748"/>
      <c r="D91" s="745">
        <v>690873.07393068005</v>
      </c>
      <c r="E91" s="733"/>
      <c r="F91" s="733"/>
      <c r="G91" s="733"/>
      <c r="H91" s="733">
        <f t="shared" si="26"/>
        <v>172718.26848267001</v>
      </c>
      <c r="I91" s="44">
        <f>G91-H91</f>
        <v>-172718.26848267001</v>
      </c>
      <c r="J91" s="330">
        <f>IF(I91=0,"",I91/H91)</f>
        <v>-1</v>
      </c>
      <c r="K91" s="735">
        <f t="shared" si="29"/>
        <v>690873.07393068005</v>
      </c>
    </row>
    <row r="92" spans="1:11" ht="12.75" customHeight="1" x14ac:dyDescent="0.2">
      <c r="A92" s="518" t="s">
        <v>1049</v>
      </c>
      <c r="B92" s="169"/>
      <c r="C92" s="748"/>
      <c r="D92" s="745">
        <v>195338.53416000001</v>
      </c>
      <c r="E92" s="733"/>
      <c r="F92" s="733">
        <v>7000</v>
      </c>
      <c r="G92" s="733">
        <v>24000</v>
      </c>
      <c r="H92" s="733">
        <f t="shared" si="26"/>
        <v>48834.633540000003</v>
      </c>
      <c r="I92" s="44">
        <f>G92-H92</f>
        <v>-24834.633540000003</v>
      </c>
      <c r="J92" s="330">
        <f>IF(I92=0,"",I92/H92)</f>
        <v>-0.50854550837692236</v>
      </c>
      <c r="K92" s="735">
        <f t="shared" si="29"/>
        <v>195338.53416000001</v>
      </c>
    </row>
    <row r="93" spans="1:11" ht="12.75" customHeight="1" x14ac:dyDescent="0.2">
      <c r="A93" s="518" t="s">
        <v>1050</v>
      </c>
      <c r="B93" s="169"/>
      <c r="C93" s="748"/>
      <c r="D93" s="745">
        <v>92722.382124000011</v>
      </c>
      <c r="E93" s="733"/>
      <c r="F93" s="733">
        <v>4650</v>
      </c>
      <c r="G93" s="733">
        <v>13550</v>
      </c>
      <c r="H93" s="733">
        <f t="shared" si="26"/>
        <v>23180.595531000003</v>
      </c>
      <c r="I93" s="44">
        <f t="shared" si="27"/>
        <v>-9630.5955310000027</v>
      </c>
      <c r="J93" s="330">
        <f t="shared" si="28"/>
        <v>-0.41545936635323977</v>
      </c>
      <c r="K93" s="735">
        <f t="shared" si="29"/>
        <v>92722.382124000011</v>
      </c>
    </row>
    <row r="94" spans="1:11" ht="12.75" customHeight="1" x14ac:dyDescent="0.2">
      <c r="A94" s="518" t="s">
        <v>1051</v>
      </c>
      <c r="B94" s="169"/>
      <c r="C94" s="748"/>
      <c r="D94" s="745"/>
      <c r="E94" s="733"/>
      <c r="F94" s="733"/>
      <c r="G94" s="733"/>
      <c r="H94" s="733"/>
      <c r="I94" s="44">
        <f t="shared" si="27"/>
        <v>0</v>
      </c>
      <c r="J94" s="330" t="str">
        <f t="shared" si="28"/>
        <v/>
      </c>
      <c r="K94" s="735"/>
    </row>
    <row r="95" spans="1:11" ht="12.75" customHeight="1" x14ac:dyDescent="0.2">
      <c r="A95" s="518" t="s">
        <v>1052</v>
      </c>
      <c r="B95" s="169"/>
      <c r="C95" s="748"/>
      <c r="D95" s="745"/>
      <c r="E95" s="733"/>
      <c r="F95" s="733"/>
      <c r="G95" s="733"/>
      <c r="H95" s="733"/>
      <c r="I95" s="44">
        <f t="shared" si="27"/>
        <v>0</v>
      </c>
      <c r="J95" s="330" t="str">
        <f t="shared" si="28"/>
        <v/>
      </c>
      <c r="K95" s="735"/>
    </row>
    <row r="96" spans="1:11" ht="12.75" customHeight="1" x14ac:dyDescent="0.2">
      <c r="A96" s="518" t="s">
        <v>1053</v>
      </c>
      <c r="B96" s="169"/>
      <c r="C96" s="748"/>
      <c r="D96" s="745"/>
      <c r="E96" s="733"/>
      <c r="F96" s="733"/>
      <c r="G96" s="733"/>
      <c r="H96" s="733"/>
      <c r="I96" s="44">
        <f t="shared" si="27"/>
        <v>0</v>
      </c>
      <c r="J96" s="330" t="str">
        <f t="shared" si="28"/>
        <v/>
      </c>
      <c r="K96" s="735"/>
    </row>
    <row r="97" spans="1:14" ht="12.75" customHeight="1" x14ac:dyDescent="0.2">
      <c r="A97" s="518" t="s">
        <v>1054</v>
      </c>
      <c r="B97" s="169"/>
      <c r="C97" s="748"/>
      <c r="D97" s="745"/>
      <c r="E97" s="733"/>
      <c r="F97" s="733"/>
      <c r="G97" s="733"/>
      <c r="H97" s="733"/>
      <c r="I97" s="44">
        <f t="shared" si="27"/>
        <v>0</v>
      </c>
      <c r="J97" s="330" t="str">
        <f t="shared" si="28"/>
        <v/>
      </c>
      <c r="K97" s="735"/>
    </row>
    <row r="98" spans="1:14" ht="12.75" customHeight="1" x14ac:dyDescent="0.2">
      <c r="A98" s="518" t="s">
        <v>1055</v>
      </c>
      <c r="B98" s="169"/>
      <c r="C98" s="748"/>
      <c r="D98" s="745"/>
      <c r="E98" s="733"/>
      <c r="F98" s="733"/>
      <c r="G98" s="733"/>
      <c r="H98" s="733"/>
      <c r="I98" s="44">
        <f t="shared" si="27"/>
        <v>0</v>
      </c>
      <c r="J98" s="330" t="str">
        <f t="shared" si="28"/>
        <v/>
      </c>
      <c r="K98" s="735"/>
    </row>
    <row r="99" spans="1:14" ht="12.75" customHeight="1" x14ac:dyDescent="0.2">
      <c r="A99" s="87" t="s">
        <v>510</v>
      </c>
      <c r="B99" s="169"/>
      <c r="C99" s="516">
        <f t="shared" ref="C99:H99" si="30">SUM(C87:C98)</f>
        <v>0</v>
      </c>
      <c r="D99" s="475">
        <f t="shared" si="30"/>
        <v>10276762.819021681</v>
      </c>
      <c r="E99" s="430">
        <f t="shared" si="30"/>
        <v>0</v>
      </c>
      <c r="F99" s="430">
        <f t="shared" si="30"/>
        <v>625857.67000000004</v>
      </c>
      <c r="G99" s="430">
        <f t="shared" si="30"/>
        <v>1923003.36</v>
      </c>
      <c r="H99" s="430">
        <f t="shared" si="30"/>
        <v>2569190.7047554203</v>
      </c>
      <c r="I99" s="430">
        <f t="shared" si="27"/>
        <v>-646187.34475542023</v>
      </c>
      <c r="J99" s="431">
        <f>IF(I99=0,"",I99/H99)</f>
        <v>-0.25151396646397856</v>
      </c>
      <c r="K99" s="513">
        <f>SUM(K87:K98)</f>
        <v>10276762.819021681</v>
      </c>
    </row>
    <row r="100" spans="1:14" ht="12.75" customHeight="1" x14ac:dyDescent="0.2">
      <c r="A100" s="565" t="s">
        <v>722</v>
      </c>
      <c r="B100" s="169">
        <v>4</v>
      </c>
      <c r="C100" s="399"/>
      <c r="D100" s="303" t="e">
        <f>IF(D99=0,"",(D99/C99)-1)</f>
        <v>#DIV/0!</v>
      </c>
      <c r="E100" s="303" t="str">
        <f>IF(E99=0,"",(E99/C99)-1)</f>
        <v/>
      </c>
      <c r="F100" s="303"/>
      <c r="G100" s="303"/>
      <c r="H100" s="303"/>
      <c r="I100" s="401"/>
      <c r="J100" s="403"/>
      <c r="K100" s="312" t="e">
        <f>IF(K99=0,"",(K99/C99)-1)</f>
        <v>#DIV/0!</v>
      </c>
    </row>
    <row r="101" spans="1:14" ht="5.0999999999999996" customHeight="1" x14ac:dyDescent="0.2">
      <c r="A101" s="554"/>
      <c r="B101" s="248"/>
      <c r="C101" s="40"/>
      <c r="D101" s="104"/>
      <c r="E101" s="103"/>
      <c r="F101" s="103"/>
      <c r="G101" s="103"/>
      <c r="H101" s="103"/>
      <c r="I101" s="103"/>
      <c r="J101" s="330"/>
      <c r="K101" s="266"/>
    </row>
    <row r="102" spans="1:14" ht="12.75" customHeight="1" x14ac:dyDescent="0.2">
      <c r="A102" s="87" t="s">
        <v>451</v>
      </c>
      <c r="B102" s="169"/>
      <c r="C102" s="516">
        <f t="shared" ref="C102:H102" si="31">C67+C83+C99</f>
        <v>0</v>
      </c>
      <c r="D102" s="475">
        <f t="shared" si="31"/>
        <v>10981622.408371681</v>
      </c>
      <c r="E102" s="430">
        <f t="shared" si="31"/>
        <v>0</v>
      </c>
      <c r="F102" s="430">
        <f t="shared" si="31"/>
        <v>682959.78</v>
      </c>
      <c r="G102" s="430">
        <f t="shared" si="31"/>
        <v>2094309.6900000002</v>
      </c>
      <c r="H102" s="430">
        <f t="shared" si="31"/>
        <v>2737125.7595929201</v>
      </c>
      <c r="I102" s="430">
        <f>G102-H102</f>
        <v>-642816.0695929199</v>
      </c>
      <c r="J102" s="431">
        <f>IF(I102=0,"",I102/H102)</f>
        <v>-0.23485076173062758</v>
      </c>
      <c r="K102" s="513">
        <f>K67+K83+K99</f>
        <v>10981622.408371681</v>
      </c>
    </row>
    <row r="103" spans="1:14" ht="5.0999999999999996" customHeight="1" x14ac:dyDescent="0.2">
      <c r="A103" s="42"/>
      <c r="B103" s="169"/>
      <c r="C103" s="134"/>
      <c r="D103" s="104"/>
      <c r="E103" s="103"/>
      <c r="F103" s="103"/>
      <c r="G103" s="103"/>
      <c r="H103" s="103"/>
      <c r="I103" s="103"/>
      <c r="J103" s="330"/>
      <c r="K103" s="266"/>
    </row>
    <row r="104" spans="1:14" ht="12.75" customHeight="1" x14ac:dyDescent="0.2">
      <c r="A104" s="568" t="s">
        <v>972</v>
      </c>
      <c r="B104" s="236"/>
      <c r="C104" s="112">
        <f t="shared" ref="C104:H104" si="32">C49+C102</f>
        <v>0</v>
      </c>
      <c r="D104" s="56">
        <f t="shared" si="32"/>
        <v>1494829497.1356347</v>
      </c>
      <c r="E104" s="55">
        <f t="shared" si="32"/>
        <v>0</v>
      </c>
      <c r="F104" s="55">
        <f t="shared" si="32"/>
        <v>116072041.40000002</v>
      </c>
      <c r="G104" s="55">
        <f t="shared" si="32"/>
        <v>338519574.30000001</v>
      </c>
      <c r="H104" s="55">
        <f t="shared" si="32"/>
        <v>373699094.44140863</v>
      </c>
      <c r="I104" s="55">
        <f>G104-H104</f>
        <v>-35179520.141408622</v>
      </c>
      <c r="J104" s="332">
        <f>IF(I104=0,"",I104/H104)</f>
        <v>-9.4138628283254602E-2</v>
      </c>
      <c r="K104" s="235">
        <f>K49+K102</f>
        <v>1494829497.1356347</v>
      </c>
    </row>
    <row r="105" spans="1:14" ht="12.75" customHeight="1" x14ac:dyDescent="0.2">
      <c r="A105" s="565" t="s">
        <v>722</v>
      </c>
      <c r="B105" s="169">
        <v>4</v>
      </c>
      <c r="C105" s="399"/>
      <c r="D105" s="303" t="e">
        <f>IF(D104=0,"",(D104/C104)-1)</f>
        <v>#DIV/0!</v>
      </c>
      <c r="E105" s="303" t="str">
        <f>IF(E104=0,"",(E104/C104)-1)</f>
        <v/>
      </c>
      <c r="F105" s="303"/>
      <c r="G105" s="303"/>
      <c r="H105" s="303"/>
      <c r="I105" s="401"/>
      <c r="J105" s="403"/>
      <c r="K105" s="312" t="e">
        <f>IF(K104=0,"",(K104/C104)-1)</f>
        <v>#DIV/0!</v>
      </c>
      <c r="L105" s="67"/>
      <c r="M105" s="67"/>
      <c r="N105" s="67"/>
    </row>
    <row r="106" spans="1:14" ht="12.75" customHeight="1" x14ac:dyDescent="0.2">
      <c r="A106" s="567" t="s">
        <v>133</v>
      </c>
      <c r="B106" s="236"/>
      <c r="C106" s="112">
        <f t="shared" ref="C106:I106" si="33">C30+C46+C83+C99</f>
        <v>0</v>
      </c>
      <c r="D106" s="56">
        <f t="shared" si="33"/>
        <v>1441179096.0201545</v>
      </c>
      <c r="E106" s="55">
        <f t="shared" si="33"/>
        <v>0</v>
      </c>
      <c r="F106" s="55">
        <f t="shared" si="33"/>
        <v>109815003.90000002</v>
      </c>
      <c r="G106" s="55">
        <f t="shared" si="33"/>
        <v>324895196.61000001</v>
      </c>
      <c r="H106" s="55">
        <f t="shared" si="33"/>
        <v>360286494.16253865</v>
      </c>
      <c r="I106" s="55">
        <f t="shared" si="33"/>
        <v>-35391297.552538626</v>
      </c>
      <c r="J106" s="888">
        <f>IF(I106=0,"",I106/H106)</f>
        <v>-9.8230985967995496E-2</v>
      </c>
      <c r="K106" s="235">
        <f>K30+K46+K83+K99</f>
        <v>1441179096.0201545</v>
      </c>
      <c r="L106" s="67"/>
      <c r="M106" s="67"/>
      <c r="N106" s="67"/>
    </row>
    <row r="107" spans="1:14" ht="12.75" customHeight="1" x14ac:dyDescent="0.2">
      <c r="A107" s="57" t="str">
        <f>head27a</f>
        <v>References</v>
      </c>
      <c r="B107" s="58"/>
      <c r="C107" s="84"/>
      <c r="D107" s="84"/>
      <c r="E107" s="84"/>
      <c r="F107" s="84"/>
      <c r="G107" s="84"/>
      <c r="H107" s="84"/>
      <c r="I107" s="84"/>
      <c r="J107" s="84"/>
      <c r="K107" s="84"/>
      <c r="L107" s="67"/>
      <c r="M107" s="67"/>
      <c r="N107" s="67"/>
    </row>
    <row r="108" spans="1:14" ht="12.75" customHeight="1" x14ac:dyDescent="0.2">
      <c r="A108" s="80" t="s">
        <v>460</v>
      </c>
      <c r="B108" s="58"/>
      <c r="C108" s="84"/>
      <c r="D108" s="84"/>
      <c r="E108" s="84"/>
      <c r="F108" s="84"/>
      <c r="G108" s="84"/>
      <c r="H108" s="84"/>
      <c r="I108" s="84"/>
      <c r="J108" s="84"/>
      <c r="K108" s="84"/>
      <c r="L108" s="67"/>
      <c r="M108" s="67"/>
      <c r="N108" s="67"/>
    </row>
    <row r="109" spans="1:14" ht="12.75" customHeight="1" x14ac:dyDescent="0.2">
      <c r="A109" s="80" t="s">
        <v>776</v>
      </c>
      <c r="B109" s="58"/>
      <c r="C109" s="84"/>
      <c r="D109" s="84"/>
      <c r="E109" s="84"/>
      <c r="F109" s="84"/>
      <c r="G109" s="84"/>
      <c r="H109" s="84"/>
      <c r="I109" s="84"/>
      <c r="J109" s="84"/>
      <c r="K109" s="84"/>
      <c r="L109" s="67"/>
      <c r="M109" s="67"/>
      <c r="N109" s="67"/>
    </row>
    <row r="110" spans="1:14" ht="12.75" customHeight="1" x14ac:dyDescent="0.2">
      <c r="A110" s="121" t="s">
        <v>461</v>
      </c>
    </row>
    <row r="111" spans="1:14" ht="12.75" customHeight="1" x14ac:dyDescent="0.2">
      <c r="A111" s="121" t="s">
        <v>462</v>
      </c>
    </row>
    <row r="112" spans="1:14" ht="12.75" customHeight="1" x14ac:dyDescent="0.2">
      <c r="A112" s="95" t="s">
        <v>605</v>
      </c>
    </row>
    <row r="113" spans="1:2" ht="12.75" customHeight="1" x14ac:dyDescent="0.2">
      <c r="A113" s="121" t="s">
        <v>828</v>
      </c>
    </row>
    <row r="114" spans="1:2" ht="12.75" customHeight="1" x14ac:dyDescent="0.2">
      <c r="A114" s="121" t="s">
        <v>829</v>
      </c>
    </row>
    <row r="115" spans="1:2" ht="12.75" customHeight="1" x14ac:dyDescent="0.2">
      <c r="A115" s="121" t="s">
        <v>753</v>
      </c>
    </row>
    <row r="116" spans="1:2" ht="12.75" customHeight="1" x14ac:dyDescent="0.2">
      <c r="A116" s="121" t="s">
        <v>754</v>
      </c>
    </row>
    <row r="121" spans="1:2" x14ac:dyDescent="0.2">
      <c r="B121" s="25"/>
    </row>
    <row r="122" spans="1:2" x14ac:dyDescent="0.2">
      <c r="B122" s="25"/>
    </row>
    <row r="123" spans="1:2" x14ac:dyDescent="0.2">
      <c r="B123" s="25"/>
    </row>
    <row r="124" spans="1:2" x14ac:dyDescent="0.2">
      <c r="B124" s="25"/>
    </row>
    <row r="125" spans="1:2" x14ac:dyDescent="0.2">
      <c r="B125" s="25"/>
    </row>
    <row r="126" spans="1:2" x14ac:dyDescent="0.2">
      <c r="B126" s="25"/>
    </row>
    <row r="127" spans="1:2" x14ac:dyDescent="0.2">
      <c r="B127" s="25"/>
    </row>
    <row r="128" spans="1:2"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L5" activePane="bottomRight" state="frozen"/>
      <selection pane="topRight"/>
      <selection pane="bottomLeft"/>
      <selection pane="bottomRight" activeCell="W32" sqref="W32"/>
    </sheetView>
  </sheetViews>
  <sheetFormatPr defaultColWidth="9.109375" defaultRowHeight="10.199999999999999" x14ac:dyDescent="0.2"/>
  <cols>
    <col min="1" max="1" width="37.109375" style="25" bestFit="1" customWidth="1"/>
    <col min="2" max="2" width="3.109375" style="25" customWidth="1"/>
    <col min="3" max="14" width="7.6640625" style="25" customWidth="1"/>
    <col min="15" max="17" width="8.6640625" style="25" customWidth="1"/>
    <col min="18" max="18" width="9.5546875" style="25" customWidth="1"/>
    <col min="19" max="19" width="9.88671875" style="25" customWidth="1"/>
    <col min="20" max="20" width="9.5546875" style="25" bestFit="1" customWidth="1"/>
    <col min="21" max="24" width="9.88671875" style="25" bestFit="1" customWidth="1"/>
    <col min="25" max="26" width="9.5546875" style="25" bestFit="1" customWidth="1"/>
    <col min="27" max="27" width="9.88671875" style="25" bestFit="1" customWidth="1"/>
    <col min="28" max="16384" width="9.109375" style="25"/>
  </cols>
  <sheetData>
    <row r="1" spans="1:17" ht="13.8" x14ac:dyDescent="0.3">
      <c r="A1" s="162" t="str">
        <f>muni&amp; " - "&amp;S71O&amp; " - "&amp;Head57</f>
        <v>KZN225 Msunduzi - Supporting Table SC9 Monthly Budget Statement - actuals and revised targets for cash receipts - Q1 First Quarter</v>
      </c>
      <c r="B1" s="68"/>
    </row>
    <row r="2" spans="1:17" ht="25.5" customHeight="1" x14ac:dyDescent="0.2">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
      <c r="A5" s="35" t="s">
        <v>932</v>
      </c>
      <c r="B5" s="38"/>
      <c r="C5" s="258"/>
      <c r="D5" s="238"/>
      <c r="E5" s="238"/>
      <c r="F5" s="238"/>
      <c r="G5" s="238"/>
      <c r="H5" s="238"/>
      <c r="I5" s="238"/>
      <c r="J5" s="238"/>
      <c r="K5" s="238"/>
      <c r="L5" s="238"/>
      <c r="M5" s="238"/>
      <c r="N5" s="316"/>
      <c r="O5" s="237"/>
      <c r="P5" s="238"/>
      <c r="Q5" s="285"/>
    </row>
    <row r="6" spans="1:17" ht="12.75" customHeight="1" x14ac:dyDescent="0.2">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 customHeight="1" x14ac:dyDescent="0.2">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
      <c r="A23" s="314" t="s">
        <v>723</v>
      </c>
      <c r="B23" s="40"/>
      <c r="C23" s="258"/>
      <c r="D23" s="44"/>
      <c r="E23" s="44"/>
      <c r="F23" s="44"/>
      <c r="G23" s="44"/>
      <c r="H23" s="44"/>
      <c r="I23" s="44"/>
      <c r="J23" s="44"/>
      <c r="K23" s="44"/>
      <c r="L23" s="44"/>
      <c r="M23" s="44"/>
      <c r="N23" s="108">
        <f t="shared" si="1"/>
        <v>0</v>
      </c>
      <c r="O23" s="46"/>
      <c r="P23" s="44"/>
      <c r="Q23" s="144"/>
    </row>
    <row r="24" spans="1:17" s="987" customFormat="1" ht="22.95" customHeight="1" x14ac:dyDescent="0.25">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5">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
      <c r="A30" s="39"/>
      <c r="B30" s="40"/>
      <c r="C30" s="670"/>
      <c r="D30" s="408"/>
      <c r="E30" s="408"/>
      <c r="F30" s="408"/>
      <c r="G30" s="408"/>
      <c r="H30" s="408"/>
      <c r="I30" s="408"/>
      <c r="J30" s="408"/>
      <c r="K30" s="408"/>
      <c r="L30" s="408"/>
      <c r="M30" s="408"/>
      <c r="N30" s="650"/>
      <c r="O30" s="649"/>
      <c r="P30" s="408"/>
      <c r="Q30" s="642"/>
    </row>
    <row r="31" spans="1:17" ht="12.75" customHeight="1" x14ac:dyDescent="0.2">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
      <c r="A47" s="105"/>
      <c r="B47" s="40"/>
      <c r="C47" s="258"/>
      <c r="D47" s="44"/>
      <c r="E47" s="44"/>
      <c r="F47" s="44"/>
      <c r="G47" s="44"/>
      <c r="H47" s="44"/>
      <c r="I47" s="44"/>
      <c r="J47" s="44"/>
      <c r="K47" s="44"/>
      <c r="L47" s="44"/>
      <c r="M47" s="44"/>
      <c r="N47" s="108">
        <f>O47-SUM(C47:M47)</f>
        <v>0</v>
      </c>
      <c r="O47" s="46"/>
      <c r="P47" s="44"/>
      <c r="Q47" s="144"/>
    </row>
    <row r="48" spans="1:17" ht="12.75" customHeight="1" x14ac:dyDescent="0.2">
      <c r="A48" s="88" t="s">
        <v>668</v>
      </c>
      <c r="B48" s="40"/>
      <c r="C48" s="258"/>
      <c r="D48" s="44"/>
      <c r="E48" s="44"/>
      <c r="F48" s="44"/>
      <c r="G48" s="44"/>
      <c r="H48" s="44"/>
      <c r="I48" s="44"/>
      <c r="J48" s="44"/>
      <c r="K48" s="44"/>
      <c r="L48" s="44"/>
      <c r="M48" s="44"/>
      <c r="N48" s="108"/>
      <c r="O48" s="46"/>
      <c r="P48" s="44"/>
      <c r="Q48" s="144"/>
    </row>
    <row r="49" spans="1:17" ht="12.75" customHeight="1" x14ac:dyDescent="0.2">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
      <c r="A53" s="105"/>
      <c r="B53" s="40"/>
      <c r="C53" s="258"/>
      <c r="D53" s="44"/>
      <c r="E53" s="44"/>
      <c r="F53" s="44"/>
      <c r="G53" s="44"/>
      <c r="H53" s="44"/>
      <c r="I53" s="44"/>
      <c r="J53" s="44"/>
      <c r="K53" s="44"/>
      <c r="L53" s="44"/>
      <c r="M53" s="44"/>
      <c r="N53" s="108">
        <f>O53-SUM(C53:M53)</f>
        <v>0</v>
      </c>
      <c r="O53" s="46"/>
      <c r="P53" s="44"/>
      <c r="Q53" s="144"/>
    </row>
    <row r="54" spans="1:17" ht="12.75" customHeight="1" x14ac:dyDescent="0.2">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
      <c r="A57" s="57" t="str">
        <f>head27a</f>
        <v>References</v>
      </c>
      <c r="B57" s="67"/>
      <c r="C57" s="67"/>
      <c r="D57" s="67"/>
      <c r="E57" s="67"/>
      <c r="F57" s="67"/>
      <c r="G57" s="67"/>
      <c r="H57" s="67"/>
      <c r="I57" s="67"/>
      <c r="J57" s="67"/>
      <c r="K57" s="67"/>
      <c r="L57" s="67"/>
      <c r="M57" s="67"/>
      <c r="N57" s="67"/>
      <c r="O57" s="67"/>
      <c r="P57" s="67"/>
      <c r="Q57" s="67"/>
    </row>
    <row r="58" spans="1:17" ht="12.75" customHeight="1" x14ac:dyDescent="0.2">
      <c r="A58" s="80" t="s">
        <v>52</v>
      </c>
      <c r="B58" s="67"/>
      <c r="C58" s="67"/>
      <c r="D58" s="67"/>
      <c r="E58" s="67"/>
      <c r="F58" s="67"/>
      <c r="G58" s="67"/>
      <c r="H58" s="67"/>
      <c r="I58" s="67"/>
      <c r="J58" s="67"/>
      <c r="K58" s="67"/>
      <c r="L58" s="67"/>
      <c r="M58" s="67"/>
      <c r="N58" s="67"/>
      <c r="O58" s="67"/>
      <c r="P58" s="67"/>
      <c r="Q58" s="67"/>
    </row>
    <row r="59" spans="1:17" ht="12.75" customHeight="1" x14ac:dyDescent="0.2">
      <c r="A59" s="80" t="s">
        <v>53</v>
      </c>
      <c r="B59" s="67"/>
      <c r="C59" s="67"/>
      <c r="D59" s="67"/>
      <c r="E59" s="67"/>
      <c r="F59" s="67"/>
      <c r="G59" s="67"/>
      <c r="H59" s="67"/>
      <c r="I59" s="67"/>
      <c r="J59" s="67"/>
      <c r="K59" s="67"/>
      <c r="L59" s="67"/>
      <c r="M59" s="67"/>
      <c r="N59" s="67"/>
      <c r="O59" s="67"/>
      <c r="P59" s="67"/>
      <c r="Q59" s="67"/>
    </row>
    <row r="60" spans="1:17" ht="12.75" customHeight="1" x14ac:dyDescent="0.2">
      <c r="A60" s="60" t="s">
        <v>73</v>
      </c>
      <c r="B60" s="67"/>
      <c r="C60" s="67"/>
      <c r="D60" s="67"/>
      <c r="E60" s="67"/>
      <c r="F60" s="67"/>
      <c r="G60" s="67"/>
      <c r="H60" s="67"/>
      <c r="I60" s="67"/>
      <c r="J60" s="67"/>
      <c r="K60" s="67"/>
      <c r="L60" s="67"/>
      <c r="M60" s="67"/>
      <c r="N60" s="67"/>
      <c r="O60" s="67"/>
      <c r="P60" s="67"/>
      <c r="Q60" s="67"/>
    </row>
    <row r="61" spans="1:17" ht="12.75" customHeight="1" x14ac:dyDescent="0.2">
      <c r="A61" s="67"/>
      <c r="B61" s="67"/>
      <c r="C61" s="67"/>
      <c r="D61" s="67"/>
      <c r="E61" s="67"/>
      <c r="F61" s="67"/>
      <c r="G61" s="67"/>
      <c r="H61" s="67"/>
      <c r="I61" s="67"/>
      <c r="J61" s="67"/>
      <c r="K61" s="67"/>
      <c r="L61" s="67"/>
      <c r="M61" s="67"/>
      <c r="N61" s="67"/>
      <c r="O61" s="67"/>
      <c r="P61" s="67"/>
      <c r="Q61" s="67"/>
    </row>
    <row r="62" spans="1:17" ht="10.5" customHeight="1" x14ac:dyDescent="0.2"/>
    <row r="64" spans="1:17" x14ac:dyDescent="0.2">
      <c r="E64" s="84"/>
      <c r="F64" s="84"/>
      <c r="G64" s="84"/>
      <c r="H64" s="84"/>
      <c r="I64" s="84"/>
      <c r="J64" s="84"/>
      <c r="K64" s="84"/>
      <c r="L64" s="84"/>
      <c r="M64" s="84"/>
    </row>
    <row r="65" spans="5:16" x14ac:dyDescent="0.2">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
      <c r="N192" s="85"/>
      <c r="O192" s="85"/>
      <c r="P192" s="85"/>
      <c r="Q192" s="85"/>
      <c r="R192" s="85"/>
      <c r="S192" s="85"/>
      <c r="AG192" s="85"/>
      <c r="AH192" s="85"/>
      <c r="AI192" s="85"/>
      <c r="AJ192" s="85"/>
      <c r="AK192" s="85"/>
      <c r="AL192" s="85"/>
      <c r="AM192" s="85"/>
      <c r="AN192" s="85"/>
      <c r="AO192" s="85"/>
      <c r="AP192" s="85"/>
      <c r="AQ192" s="85"/>
    </row>
    <row r="193" spans="14:43" x14ac:dyDescent="0.2">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23" activePane="bottomRight" state="frozen"/>
      <selection pane="topRight"/>
      <selection pane="bottomLeft"/>
      <selection pane="bottomRight" activeCell="F39" sqref="F39:G4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"&amp;S71P&amp; " - "&amp;Head57</f>
        <v>KZN225 Msunduzi - Supporting Table SC10 Monthly Budget Statement  - Parent Municipality Financial Performance (revenue and expenditure)  - Q1 First Quarter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
      <c r="A4" s="291" t="s">
        <v>667</v>
      </c>
      <c r="B4" s="248">
        <v>1</v>
      </c>
      <c r="C4" s="292"/>
      <c r="D4" s="293"/>
      <c r="E4" s="294"/>
      <c r="F4" s="295"/>
      <c r="G4" s="295"/>
      <c r="H4" s="295"/>
      <c r="I4" s="295"/>
      <c r="J4" s="296" t="s">
        <v>575</v>
      </c>
      <c r="K4" s="297"/>
    </row>
    <row r="5" spans="1:11" ht="12.75" customHeight="1" x14ac:dyDescent="0.2">
      <c r="A5" s="35" t="str">
        <f>'C4-FinPerf RE'!A5</f>
        <v>Revenue By Source</v>
      </c>
      <c r="B5" s="169"/>
      <c r="C5" s="134"/>
      <c r="D5" s="46"/>
      <c r="E5" s="44"/>
      <c r="F5" s="44"/>
      <c r="G5" s="44"/>
      <c r="H5" s="44"/>
      <c r="I5" s="44"/>
      <c r="J5" s="44"/>
      <c r="K5" s="144"/>
    </row>
    <row r="6" spans="1:11" ht="12.75" customHeight="1" x14ac:dyDescent="0.2">
      <c r="A6" s="39" t="str">
        <f>'C4-FinPerf RE'!A6</f>
        <v>Property rates</v>
      </c>
      <c r="B6" s="169"/>
      <c r="C6" s="748"/>
      <c r="D6" s="745">
        <v>1269794594.0217998</v>
      </c>
      <c r="E6" s="733"/>
      <c r="F6" s="733">
        <v>103982579.58999999</v>
      </c>
      <c r="G6" s="733">
        <v>308020926.50000006</v>
      </c>
      <c r="H6" s="733">
        <f>D6/12*3</f>
        <v>317448648.50544995</v>
      </c>
      <c r="I6" s="44">
        <f t="shared" ref="I6:I21" si="0">G6-H6</f>
        <v>-9427722.0054498911</v>
      </c>
      <c r="J6" s="330">
        <f>IF(I6=0,"",I6/H6)</f>
        <v>-2.9698415948014457E-2</v>
      </c>
      <c r="K6" s="735">
        <f>D6</f>
        <v>1269794594.0217998</v>
      </c>
    </row>
    <row r="7" spans="1:11" ht="12.75" customHeight="1" x14ac:dyDescent="0.2">
      <c r="A7" s="39" t="str">
        <f>'C4-FinPerf RE'!A7</f>
        <v>Service charges - electricity revenue</v>
      </c>
      <c r="B7" s="169"/>
      <c r="C7" s="748"/>
      <c r="D7" s="745">
        <v>2584775677.1378117</v>
      </c>
      <c r="E7" s="733"/>
      <c r="F7" s="733">
        <v>204806141.56999999</v>
      </c>
      <c r="G7" s="733">
        <v>631542881.49000013</v>
      </c>
      <c r="H7" s="733">
        <f>D7/12*3</f>
        <v>646193919.28445292</v>
      </c>
      <c r="I7" s="44">
        <f t="shared" si="0"/>
        <v>-14651037.794452786</v>
      </c>
      <c r="J7" s="330">
        <f t="shared" ref="J7:J22" si="1">IF(I7=0,"",I7/H7)</f>
        <v>-2.2672819036545958E-2</v>
      </c>
      <c r="K7" s="735">
        <f>D7</f>
        <v>2584775677.1378117</v>
      </c>
    </row>
    <row r="8" spans="1:11" ht="12.75" customHeight="1" x14ac:dyDescent="0.2">
      <c r="A8" s="86" t="str">
        <f>'C4-FinPerf RE'!A8</f>
        <v>Service charges - water revenue</v>
      </c>
      <c r="B8" s="171"/>
      <c r="C8" s="748"/>
      <c r="D8" s="745">
        <v>722633094.82360029</v>
      </c>
      <c r="E8" s="733"/>
      <c r="F8" s="733">
        <v>66281450.760000005</v>
      </c>
      <c r="G8" s="733">
        <v>192611307.66</v>
      </c>
      <c r="H8" s="733">
        <f>D8/12*3</f>
        <v>180658273.70590007</v>
      </c>
      <c r="I8" s="44">
        <f t="shared" si="0"/>
        <v>11953033.954099923</v>
      </c>
      <c r="J8" s="330">
        <f t="shared" si="1"/>
        <v>6.6163778214546026E-2</v>
      </c>
      <c r="K8" s="735">
        <f>D8</f>
        <v>722633094.82360029</v>
      </c>
    </row>
    <row r="9" spans="1:11" ht="12.75" customHeight="1" x14ac:dyDescent="0.2">
      <c r="A9" s="86" t="str">
        <f>'C4-FinPerf RE'!A9</f>
        <v>Service charges - sanitation revenue</v>
      </c>
      <c r="B9" s="171"/>
      <c r="C9" s="748"/>
      <c r="D9" s="745">
        <v>152021749.3608</v>
      </c>
      <c r="E9" s="733"/>
      <c r="F9" s="733">
        <v>12358093.620000001</v>
      </c>
      <c r="G9" s="733">
        <v>36705609.660000004</v>
      </c>
      <c r="H9" s="733">
        <f>D9/12*3</f>
        <v>38005437.3402</v>
      </c>
      <c r="I9" s="44">
        <f t="shared" si="0"/>
        <v>-1299827.6801999956</v>
      </c>
      <c r="J9" s="330">
        <f t="shared" si="1"/>
        <v>-3.420109782094552E-2</v>
      </c>
      <c r="K9" s="735">
        <f>D9</f>
        <v>152021749.3608</v>
      </c>
    </row>
    <row r="10" spans="1:11" ht="12.75" customHeight="1" x14ac:dyDescent="0.2">
      <c r="A10" s="86" t="str">
        <f>'C4-FinPerf RE'!A10</f>
        <v>Service charges - refuse revenue</v>
      </c>
      <c r="B10" s="171"/>
      <c r="C10" s="748"/>
      <c r="D10" s="745">
        <v>116333080.9707</v>
      </c>
      <c r="E10" s="733"/>
      <c r="F10" s="733">
        <v>8936329.5700000003</v>
      </c>
      <c r="G10" s="733">
        <v>26747978.370000005</v>
      </c>
      <c r="H10" s="733">
        <f>D10/12*3</f>
        <v>29083270.242674999</v>
      </c>
      <c r="I10" s="44">
        <f t="shared" si="0"/>
        <v>-2335291.8726749942</v>
      </c>
      <c r="J10" s="330">
        <f t="shared" si="1"/>
        <v>-8.0296742876195912E-2</v>
      </c>
      <c r="K10" s="735">
        <f>D10</f>
        <v>116333080.9707</v>
      </c>
    </row>
    <row r="11" spans="1:11" ht="0.9" customHeight="1" x14ac:dyDescent="0.2">
      <c r="A11" s="86"/>
      <c r="B11" s="171"/>
      <c r="C11" s="648"/>
      <c r="D11" s="649"/>
      <c r="E11" s="408"/>
      <c r="F11" s="408"/>
      <c r="G11" s="408"/>
      <c r="H11" s="408"/>
      <c r="I11" s="408"/>
      <c r="J11" s="947"/>
      <c r="K11" s="642"/>
    </row>
    <row r="12" spans="1:11" ht="12.75" customHeight="1" x14ac:dyDescent="0.2">
      <c r="A12" s="86" t="str">
        <f>'C4-FinPerf RE'!A12</f>
        <v>Rental of facilities and equipment</v>
      </c>
      <c r="B12" s="171"/>
      <c r="C12" s="748"/>
      <c r="D12" s="745">
        <v>29078797.626999993</v>
      </c>
      <c r="E12" s="733"/>
      <c r="F12" s="733">
        <v>1192664.9399999997</v>
      </c>
      <c r="G12" s="733">
        <v>-2305051.2199999979</v>
      </c>
      <c r="H12" s="733">
        <f>D12/12*3</f>
        <v>7269699.4067499982</v>
      </c>
      <c r="I12" s="44">
        <f t="shared" si="0"/>
        <v>-9574750.6267499961</v>
      </c>
      <c r="J12" s="330">
        <f t="shared" si="1"/>
        <v>-1.3170765517291858</v>
      </c>
      <c r="K12" s="735">
        <f t="shared" ref="K12:K20" si="2">D12</f>
        <v>29078797.626999993</v>
      </c>
    </row>
    <row r="13" spans="1:11" ht="12.75" customHeight="1" x14ac:dyDescent="0.2">
      <c r="A13" s="86" t="str">
        <f>'C4-FinPerf RE'!A13</f>
        <v>Interest earned - external investments</v>
      </c>
      <c r="B13" s="171"/>
      <c r="C13" s="748"/>
      <c r="D13" s="745">
        <v>15260422.42725</v>
      </c>
      <c r="E13" s="733"/>
      <c r="F13" s="733">
        <v>1012386.1799999999</v>
      </c>
      <c r="G13" s="733">
        <v>1882033.6700000004</v>
      </c>
      <c r="H13" s="733">
        <f>D13/12*3</f>
        <v>3815105.6068125004</v>
      </c>
      <c r="I13" s="44">
        <f t="shared" si="0"/>
        <v>-1933071.9368125</v>
      </c>
      <c r="J13" s="330">
        <f t="shared" si="1"/>
        <v>-0.50668897169207616</v>
      </c>
      <c r="K13" s="735">
        <f t="shared" si="2"/>
        <v>15260422.42725</v>
      </c>
    </row>
    <row r="14" spans="1:11" ht="12.75" customHeight="1" x14ac:dyDescent="0.2">
      <c r="A14" s="86" t="str">
        <f>'C4-FinPerf RE'!A14</f>
        <v>Interest earned - outstanding debtors</v>
      </c>
      <c r="B14" s="171"/>
      <c r="C14" s="748"/>
      <c r="D14" s="745">
        <v>202457793.88559997</v>
      </c>
      <c r="E14" s="733"/>
      <c r="F14" s="733">
        <v>15298342.599999996</v>
      </c>
      <c r="G14" s="733">
        <v>45443166.939999998</v>
      </c>
      <c r="H14" s="733">
        <f>D14/12*3</f>
        <v>50614448.471399993</v>
      </c>
      <c r="I14" s="44">
        <f t="shared" si="0"/>
        <v>-5171281.5313999951</v>
      </c>
      <c r="J14" s="330">
        <f t="shared" si="1"/>
        <v>-0.10217006581277004</v>
      </c>
      <c r="K14" s="735">
        <f t="shared" si="2"/>
        <v>202457793.88559997</v>
      </c>
    </row>
    <row r="15" spans="1:11" ht="12.75" customHeight="1" x14ac:dyDescent="0.2">
      <c r="A15" s="86" t="str">
        <f>'C4-FinPerf RE'!A15</f>
        <v>Dividends received</v>
      </c>
      <c r="B15" s="171"/>
      <c r="C15" s="748"/>
      <c r="D15" s="745"/>
      <c r="E15" s="733"/>
      <c r="F15" s="733"/>
      <c r="G15" s="733"/>
      <c r="H15" s="733"/>
      <c r="I15" s="44">
        <f t="shared" si="0"/>
        <v>0</v>
      </c>
      <c r="J15" s="330" t="str">
        <f t="shared" si="1"/>
        <v/>
      </c>
      <c r="K15" s="735"/>
    </row>
    <row r="16" spans="1:11" ht="12.75" customHeight="1" x14ac:dyDescent="0.2">
      <c r="A16" s="86" t="str">
        <f>'C4-FinPerf RE'!A16</f>
        <v>Fines, penalties and forfeits</v>
      </c>
      <c r="B16" s="171"/>
      <c r="C16" s="748"/>
      <c r="D16" s="745">
        <v>1798551.4436999999</v>
      </c>
      <c r="E16" s="733"/>
      <c r="F16" s="733">
        <v>14522.31</v>
      </c>
      <c r="G16" s="733">
        <v>-223190.75999999998</v>
      </c>
      <c r="H16" s="733">
        <f>D16/12*3</f>
        <v>449637.86092499999</v>
      </c>
      <c r="I16" s="44">
        <f t="shared" si="0"/>
        <v>-672828.62092499994</v>
      </c>
      <c r="J16" s="330">
        <f t="shared" si="1"/>
        <v>-1.496378929347385</v>
      </c>
      <c r="K16" s="735">
        <f t="shared" si="2"/>
        <v>1798551.4436999999</v>
      </c>
    </row>
    <row r="17" spans="1:11" ht="12.75" customHeight="1" x14ac:dyDescent="0.2">
      <c r="A17" s="86" t="str">
        <f>'C4-FinPerf RE'!A17</f>
        <v>Licences and permits</v>
      </c>
      <c r="B17" s="171"/>
      <c r="C17" s="748"/>
      <c r="D17" s="745">
        <v>1119569.0055</v>
      </c>
      <c r="E17" s="733"/>
      <c r="F17" s="733">
        <v>51994.94</v>
      </c>
      <c r="G17" s="733">
        <v>172828.01</v>
      </c>
      <c r="H17" s="733">
        <f>D17/12*3</f>
        <v>279892.25137499999</v>
      </c>
      <c r="I17" s="44">
        <f t="shared" si="0"/>
        <v>-107064.24137499998</v>
      </c>
      <c r="J17" s="330">
        <f t="shared" si="1"/>
        <v>-0.38251949044332484</v>
      </c>
      <c r="K17" s="735">
        <f t="shared" si="2"/>
        <v>1119569.0055</v>
      </c>
    </row>
    <row r="18" spans="1:11" ht="12.75" customHeight="1" x14ac:dyDescent="0.2">
      <c r="A18" s="86" t="str">
        <f>'C4-FinPerf RE'!A18</f>
        <v>Agency services</v>
      </c>
      <c r="B18" s="171"/>
      <c r="C18" s="748"/>
      <c r="D18" s="745">
        <v>601902.02599999995</v>
      </c>
      <c r="E18" s="733"/>
      <c r="F18" s="733"/>
      <c r="G18" s="733"/>
      <c r="H18" s="733">
        <f>D18/12*3</f>
        <v>150475.50649999999</v>
      </c>
      <c r="I18" s="44">
        <f t="shared" si="0"/>
        <v>-150475.50649999999</v>
      </c>
      <c r="J18" s="330">
        <f t="shared" si="1"/>
        <v>-1</v>
      </c>
      <c r="K18" s="735">
        <f t="shared" si="2"/>
        <v>601902.02599999995</v>
      </c>
    </row>
    <row r="19" spans="1:11" ht="12.75" customHeight="1" x14ac:dyDescent="0.2">
      <c r="A19" s="86" t="str">
        <f>'C4-FinPerf RE'!A19</f>
        <v>Transfers and subsidies</v>
      </c>
      <c r="B19" s="171"/>
      <c r="C19" s="748"/>
      <c r="D19" s="745">
        <v>675483240</v>
      </c>
      <c r="E19" s="733"/>
      <c r="F19" s="733">
        <v>6547812.129999999</v>
      </c>
      <c r="G19" s="733">
        <v>280889803.22000003</v>
      </c>
      <c r="H19" s="733">
        <f>D19/12*3</f>
        <v>168870810</v>
      </c>
      <c r="I19" s="44">
        <f t="shared" si="0"/>
        <v>112018993.22000003</v>
      </c>
      <c r="J19" s="330">
        <f t="shared" si="1"/>
        <v>0.6633413626665261</v>
      </c>
      <c r="K19" s="735">
        <f t="shared" si="2"/>
        <v>675483240</v>
      </c>
    </row>
    <row r="20" spans="1:11" ht="12.75" customHeight="1" x14ac:dyDescent="0.2">
      <c r="A20" s="86" t="str">
        <f>'C4-FinPerf RE'!A20</f>
        <v>Other revenue</v>
      </c>
      <c r="B20" s="171"/>
      <c r="C20" s="748"/>
      <c r="D20" s="745">
        <v>146451785.14229998</v>
      </c>
      <c r="E20" s="733"/>
      <c r="F20" s="733">
        <v>5389548.5700000003</v>
      </c>
      <c r="G20" s="733">
        <v>6441927.9999999991</v>
      </c>
      <c r="H20" s="733">
        <f>D20/12*3</f>
        <v>36612946.285574995</v>
      </c>
      <c r="I20" s="44">
        <f t="shared" si="0"/>
        <v>-30171018.285574995</v>
      </c>
      <c r="J20" s="330">
        <f t="shared" si="1"/>
        <v>-0.82405327476914814</v>
      </c>
      <c r="K20" s="735">
        <f t="shared" si="2"/>
        <v>146451785.14229998</v>
      </c>
    </row>
    <row r="21" spans="1:11" ht="12.75" customHeight="1" x14ac:dyDescent="0.2">
      <c r="A21" s="39" t="str">
        <f>'C4-FinPerf RE'!A21</f>
        <v>Gains</v>
      </c>
      <c r="B21" s="169"/>
      <c r="C21" s="748"/>
      <c r="D21" s="745"/>
      <c r="E21" s="733"/>
      <c r="F21" s="733"/>
      <c r="G21" s="733"/>
      <c r="H21" s="733"/>
      <c r="I21" s="44">
        <f t="shared" si="0"/>
        <v>0</v>
      </c>
      <c r="J21" s="330" t="str">
        <f t="shared" si="1"/>
        <v/>
      </c>
      <c r="K21" s="735"/>
    </row>
    <row r="22" spans="1:11" ht="12.75" customHeight="1" x14ac:dyDescent="0.2">
      <c r="A22" s="547" t="s">
        <v>134</v>
      </c>
      <c r="B22" s="547"/>
      <c r="C22" s="243">
        <f t="shared" ref="C22:H22" si="3">SUM(C6:C10)+SUM(C12:C21)</f>
        <v>0</v>
      </c>
      <c r="D22" s="74">
        <f t="shared" si="3"/>
        <v>5917810257.8720617</v>
      </c>
      <c r="E22" s="73">
        <f t="shared" si="3"/>
        <v>0</v>
      </c>
      <c r="F22" s="73">
        <f t="shared" si="3"/>
        <v>425871866.77999997</v>
      </c>
      <c r="G22" s="73">
        <f t="shared" si="3"/>
        <v>1527930221.5400004</v>
      </c>
      <c r="H22" s="73">
        <f t="shared" si="3"/>
        <v>1479452564.4680154</v>
      </c>
      <c r="I22" s="73">
        <f>G22-H22</f>
        <v>48477657.071985006</v>
      </c>
      <c r="J22" s="331">
        <f t="shared" si="1"/>
        <v>3.2767293954718113E-2</v>
      </c>
      <c r="K22" s="145">
        <f>SUM(K6:K10)+SUM(K12:K21)</f>
        <v>5917810257.8720617</v>
      </c>
    </row>
    <row r="23" spans="1:11" ht="5.0999999999999996" customHeight="1" x14ac:dyDescent="0.2">
      <c r="A23" s="42"/>
      <c r="B23" s="169"/>
      <c r="C23" s="134"/>
      <c r="D23" s="46"/>
      <c r="E23" s="44"/>
      <c r="F23" s="44"/>
      <c r="G23" s="44"/>
      <c r="H23" s="44"/>
      <c r="I23" s="44"/>
      <c r="J23" s="330"/>
      <c r="K23" s="144"/>
    </row>
    <row r="24" spans="1:11" ht="12.75" customHeight="1" x14ac:dyDescent="0.2">
      <c r="A24" s="35" t="s">
        <v>487</v>
      </c>
      <c r="B24" s="175"/>
      <c r="C24" s="134"/>
      <c r="D24" s="46"/>
      <c r="E24" s="44"/>
      <c r="F24" s="44"/>
      <c r="G24" s="44"/>
      <c r="H24" s="44"/>
      <c r="I24" s="44"/>
      <c r="J24" s="330"/>
      <c r="K24" s="144"/>
    </row>
    <row r="25" spans="1:11" ht="12.75" customHeight="1" x14ac:dyDescent="0.2">
      <c r="A25" s="39" t="str">
        <f>'C4-FinPerf RE'!A25</f>
        <v>Employee related costs</v>
      </c>
      <c r="B25" s="171"/>
      <c r="C25" s="748"/>
      <c r="D25" s="745">
        <v>1467373084.0741799</v>
      </c>
      <c r="E25" s="733"/>
      <c r="F25" s="733">
        <v>109132044.11999999</v>
      </c>
      <c r="G25" s="733">
        <v>322800886.92000026</v>
      </c>
      <c r="H25" s="733">
        <f t="shared" ref="H25:H34" si="4">D25/12*3</f>
        <v>366843271.01854497</v>
      </c>
      <c r="I25" s="44">
        <f t="shared" ref="I25:I44" si="5">G25-H25</f>
        <v>-44042384.098544717</v>
      </c>
      <c r="J25" s="330">
        <f t="shared" ref="J25:J44" si="6">IF(I25=0,"",I25/H25)</f>
        <v>-0.12005776738458493</v>
      </c>
      <c r="K25" s="735">
        <f t="shared" ref="K25:K34" si="7">D25</f>
        <v>1467373084.0741799</v>
      </c>
    </row>
    <row r="26" spans="1:11" ht="12.75" customHeight="1" x14ac:dyDescent="0.2">
      <c r="A26" s="39" t="str">
        <f>'C4-FinPerf RE'!A26</f>
        <v>Remuneration of councillors</v>
      </c>
      <c r="B26" s="169"/>
      <c r="C26" s="748"/>
      <c r="D26" s="745">
        <v>53650401.115479976</v>
      </c>
      <c r="E26" s="733"/>
      <c r="F26" s="733">
        <v>6257037.5000000019</v>
      </c>
      <c r="G26" s="733">
        <v>13624377.690000001</v>
      </c>
      <c r="H26" s="733">
        <f t="shared" si="4"/>
        <v>13412600.278869994</v>
      </c>
      <c r="I26" s="44">
        <f t="shared" si="5"/>
        <v>211777.41113000736</v>
      </c>
      <c r="J26" s="330">
        <f t="shared" si="6"/>
        <v>1.5789437299763436E-2</v>
      </c>
      <c r="K26" s="735">
        <f t="shared" si="7"/>
        <v>53650401.115479976</v>
      </c>
    </row>
    <row r="27" spans="1:11" ht="12.75" customHeight="1" x14ac:dyDescent="0.2">
      <c r="A27" s="39" t="str">
        <f>'C4-FinPerf RE'!A27</f>
        <v>Debt impairment</v>
      </c>
      <c r="B27" s="171"/>
      <c r="C27" s="748"/>
      <c r="D27" s="745">
        <v>123904143.27200001</v>
      </c>
      <c r="E27" s="733"/>
      <c r="F27" s="733">
        <v>375292.43</v>
      </c>
      <c r="G27" s="733">
        <v>1995451.0599999998</v>
      </c>
      <c r="H27" s="733">
        <f t="shared" si="4"/>
        <v>30976035.818000004</v>
      </c>
      <c r="I27" s="44">
        <f t="shared" si="5"/>
        <v>-28980584.758000005</v>
      </c>
      <c r="J27" s="330">
        <f t="shared" si="6"/>
        <v>-0.93558081247954739</v>
      </c>
      <c r="K27" s="735">
        <f t="shared" si="7"/>
        <v>123904143.27200001</v>
      </c>
    </row>
    <row r="28" spans="1:11" ht="12.75" customHeight="1" x14ac:dyDescent="0.2">
      <c r="A28" s="39" t="str">
        <f>'C4-FinPerf RE'!A28</f>
        <v>Depreciation &amp; asset impairment</v>
      </c>
      <c r="B28" s="171"/>
      <c r="C28" s="748"/>
      <c r="D28" s="745">
        <v>488991448.27473986</v>
      </c>
      <c r="E28" s="733"/>
      <c r="F28" s="733">
        <v>33993077.199999988</v>
      </c>
      <c r="G28" s="733">
        <v>106037651.76999991</v>
      </c>
      <c r="H28" s="733">
        <f t="shared" si="4"/>
        <v>122247862.06868497</v>
      </c>
      <c r="I28" s="44">
        <f t="shared" si="5"/>
        <v>-16210210.298685059</v>
      </c>
      <c r="J28" s="330">
        <f t="shared" si="6"/>
        <v>-0.13260117620361617</v>
      </c>
      <c r="K28" s="735">
        <f t="shared" si="7"/>
        <v>488991448.27473986</v>
      </c>
    </row>
    <row r="29" spans="1:11" ht="12.75" customHeight="1" x14ac:dyDescent="0.2">
      <c r="A29" s="39" t="str">
        <f>'C4-FinPerf RE'!A29</f>
        <v>Finance charges</v>
      </c>
      <c r="B29" s="171"/>
      <c r="C29" s="748"/>
      <c r="D29" s="745">
        <v>31793212.220000003</v>
      </c>
      <c r="E29" s="733"/>
      <c r="F29" s="733">
        <v>3119835.02</v>
      </c>
      <c r="G29" s="733">
        <v>10409452.350000001</v>
      </c>
      <c r="H29" s="733">
        <f t="shared" si="4"/>
        <v>7948303.0550000016</v>
      </c>
      <c r="I29" s="44">
        <f t="shared" si="5"/>
        <v>2461149.2949999999</v>
      </c>
      <c r="J29" s="330">
        <f t="shared" si="6"/>
        <v>0.30964462199912929</v>
      </c>
      <c r="K29" s="735">
        <f t="shared" si="7"/>
        <v>31793212.220000003</v>
      </c>
    </row>
    <row r="30" spans="1:11" ht="12.75" customHeight="1" x14ac:dyDescent="0.2">
      <c r="A30" s="39" t="str">
        <f>'C4-FinPerf RE'!A30</f>
        <v>Bulk purchases</v>
      </c>
      <c r="B30" s="171"/>
      <c r="C30" s="748"/>
      <c r="D30" s="745">
        <v>2608224084.5041752</v>
      </c>
      <c r="E30" s="733"/>
      <c r="F30" s="733">
        <v>522316422.21000004</v>
      </c>
      <c r="G30" s="733">
        <v>869680955.59000003</v>
      </c>
      <c r="H30" s="733">
        <f t="shared" si="4"/>
        <v>652056021.1260438</v>
      </c>
      <c r="I30" s="44">
        <f t="shared" si="5"/>
        <v>217624934.46395624</v>
      </c>
      <c r="J30" s="330">
        <f t="shared" si="6"/>
        <v>0.3337518977098578</v>
      </c>
      <c r="K30" s="735">
        <f t="shared" si="7"/>
        <v>2608224084.5041752</v>
      </c>
    </row>
    <row r="31" spans="1:11" ht="12.75" customHeight="1" x14ac:dyDescent="0.2">
      <c r="A31" s="39" t="str">
        <f>'C4-FinPerf RE'!A31</f>
        <v>Other materials</v>
      </c>
      <c r="B31" s="171"/>
      <c r="C31" s="748"/>
      <c r="D31" s="745">
        <v>46574816.042614385</v>
      </c>
      <c r="E31" s="733"/>
      <c r="F31" s="733">
        <v>-1169115.9000000011</v>
      </c>
      <c r="G31" s="733">
        <v>332741.46000000008</v>
      </c>
      <c r="H31" s="733">
        <f t="shared" si="4"/>
        <v>11643704.010653596</v>
      </c>
      <c r="I31" s="44">
        <f t="shared" si="5"/>
        <v>-11310962.550653595</v>
      </c>
      <c r="J31" s="330">
        <f t="shared" si="6"/>
        <v>-0.97142305749995417</v>
      </c>
      <c r="K31" s="735">
        <f t="shared" si="7"/>
        <v>46574816.042614385</v>
      </c>
    </row>
    <row r="32" spans="1:11" ht="12.75" customHeight="1" x14ac:dyDescent="0.2">
      <c r="A32" s="39" t="str">
        <f>'C4-FinPerf RE'!A32</f>
        <v>Contracted services</v>
      </c>
      <c r="B32" s="171"/>
      <c r="C32" s="748"/>
      <c r="D32" s="745">
        <v>463787100.72254992</v>
      </c>
      <c r="E32" s="733"/>
      <c r="F32" s="733">
        <v>46468403.569999985</v>
      </c>
      <c r="G32" s="733">
        <v>94252800.299999982</v>
      </c>
      <c r="H32" s="733">
        <f t="shared" si="4"/>
        <v>115946775.18063748</v>
      </c>
      <c r="I32" s="44">
        <f t="shared" si="5"/>
        <v>-21693974.880637497</v>
      </c>
      <c r="J32" s="330">
        <f t="shared" si="6"/>
        <v>-0.18710287411477985</v>
      </c>
      <c r="K32" s="735">
        <f t="shared" si="7"/>
        <v>463787100.72254992</v>
      </c>
    </row>
    <row r="33" spans="1:11" ht="12.75" customHeight="1" x14ac:dyDescent="0.2">
      <c r="A33" s="39" t="str">
        <f>'C4-FinPerf RE'!A33</f>
        <v>Transfers and subsidies</v>
      </c>
      <c r="B33" s="171"/>
      <c r="C33" s="748"/>
      <c r="D33" s="745">
        <v>25080461.44304001</v>
      </c>
      <c r="E33" s="733"/>
      <c r="F33" s="733">
        <v>7262281.1800000006</v>
      </c>
      <c r="G33" s="733">
        <v>12441325.07</v>
      </c>
      <c r="H33" s="733">
        <f t="shared" si="4"/>
        <v>6270115.3607600024</v>
      </c>
      <c r="I33" s="44">
        <f t="shared" si="5"/>
        <v>6171209.7092399979</v>
      </c>
      <c r="J33" s="330">
        <f t="shared" si="6"/>
        <v>0.98422586414613966</v>
      </c>
      <c r="K33" s="735">
        <f t="shared" si="7"/>
        <v>25080461.44304001</v>
      </c>
    </row>
    <row r="34" spans="1:11" ht="12.75" customHeight="1" x14ac:dyDescent="0.2">
      <c r="A34" s="39" t="str">
        <f>'C4-FinPerf RE'!A34</f>
        <v>Other expenditure</v>
      </c>
      <c r="B34" s="171"/>
      <c r="C34" s="748"/>
      <c r="D34" s="745">
        <v>192585810.36394995</v>
      </c>
      <c r="E34" s="733"/>
      <c r="F34" s="733">
        <v>10101610.12000001</v>
      </c>
      <c r="G34" s="733">
        <v>24220818.799999986</v>
      </c>
      <c r="H34" s="733">
        <f t="shared" si="4"/>
        <v>48146452.590987489</v>
      </c>
      <c r="I34" s="44">
        <f t="shared" si="5"/>
        <v>-23925633.790987503</v>
      </c>
      <c r="J34" s="330">
        <f t="shared" si="6"/>
        <v>-0.49693450926156357</v>
      </c>
      <c r="K34" s="735">
        <f t="shared" si="7"/>
        <v>192585810.36394995</v>
      </c>
    </row>
    <row r="35" spans="1:11" ht="12.75" customHeight="1" x14ac:dyDescent="0.2">
      <c r="A35" s="39" t="str">
        <f>'C4-FinPerf RE'!A35</f>
        <v>Losses</v>
      </c>
      <c r="B35" s="169"/>
      <c r="C35" s="748"/>
      <c r="D35" s="745">
        <v>0</v>
      </c>
      <c r="E35" s="733"/>
      <c r="F35" s="733"/>
      <c r="G35" s="733"/>
      <c r="H35" s="733"/>
      <c r="I35" s="44">
        <f t="shared" si="5"/>
        <v>0</v>
      </c>
      <c r="J35" s="330" t="str">
        <f t="shared" si="6"/>
        <v/>
      </c>
      <c r="K35" s="735"/>
    </row>
    <row r="36" spans="1:11" ht="12.75" customHeight="1" x14ac:dyDescent="0.2">
      <c r="A36" s="350" t="s">
        <v>488</v>
      </c>
      <c r="B36" s="569"/>
      <c r="C36" s="243">
        <f t="shared" ref="C36:H36" si="8">SUM(C25:C35)</f>
        <v>0</v>
      </c>
      <c r="D36" s="74">
        <f t="shared" si="8"/>
        <v>5501964562.0327282</v>
      </c>
      <c r="E36" s="73">
        <f t="shared" si="8"/>
        <v>0</v>
      </c>
      <c r="F36" s="73">
        <f t="shared" si="8"/>
        <v>737856887.44999993</v>
      </c>
      <c r="G36" s="73">
        <f t="shared" si="8"/>
        <v>1455796461.01</v>
      </c>
      <c r="H36" s="73">
        <f t="shared" si="8"/>
        <v>1375491140.508182</v>
      </c>
      <c r="I36" s="73">
        <f t="shared" si="5"/>
        <v>80305320.501817942</v>
      </c>
      <c r="J36" s="331">
        <f t="shared" si="6"/>
        <v>5.8383015445776509E-2</v>
      </c>
      <c r="K36" s="145">
        <f>SUM(K25:K35)</f>
        <v>5501964562.0327282</v>
      </c>
    </row>
    <row r="37" spans="1:11" ht="5.0999999999999996" customHeight="1" x14ac:dyDescent="0.2">
      <c r="A37" s="42"/>
      <c r="B37" s="169"/>
      <c r="C37" s="134"/>
      <c r="D37" s="46"/>
      <c r="E37" s="44"/>
      <c r="F37" s="44"/>
      <c r="G37" s="44"/>
      <c r="H37" s="44"/>
      <c r="I37" s="44">
        <f t="shared" si="5"/>
        <v>0</v>
      </c>
      <c r="J37" s="330"/>
      <c r="K37" s="144"/>
    </row>
    <row r="38" spans="1:11" ht="12.75" customHeight="1" x14ac:dyDescent="0.2">
      <c r="A38" s="87" t="str">
        <f>'C4-FinPerf RE'!A38</f>
        <v>Surplus/(Deficit)</v>
      </c>
      <c r="B38" s="169"/>
      <c r="C38" s="134">
        <f t="shared" ref="C38:H38" si="9">C22-C36</f>
        <v>0</v>
      </c>
      <c r="D38" s="46">
        <f t="shared" si="9"/>
        <v>415845695.83933353</v>
      </c>
      <c r="E38" s="44">
        <f t="shared" si="9"/>
        <v>0</v>
      </c>
      <c r="F38" s="44">
        <f t="shared" si="9"/>
        <v>-311985020.66999996</v>
      </c>
      <c r="G38" s="44">
        <f t="shared" si="9"/>
        <v>72133760.530000448</v>
      </c>
      <c r="H38" s="44">
        <f t="shared" si="9"/>
        <v>103961423.95983338</v>
      </c>
      <c r="I38" s="44">
        <f t="shared" si="5"/>
        <v>-31827663.429832935</v>
      </c>
      <c r="J38" s="330">
        <f t="shared" si="6"/>
        <v>-0.30614878305370169</v>
      </c>
      <c r="K38" s="144">
        <f>K22-K36</f>
        <v>415845695.83933353</v>
      </c>
    </row>
    <row r="39" spans="1:11" ht="21.6" customHeight="1" x14ac:dyDescent="0.2">
      <c r="A39" s="111" t="str">
        <f>'C4-FinPerf RE'!A39</f>
        <v>Transfers and subsidies - capital (monetary allocations) (National / Provincial and District)</v>
      </c>
      <c r="B39" s="169"/>
      <c r="C39" s="748"/>
      <c r="D39" s="745">
        <v>525891580.99999982</v>
      </c>
      <c r="E39" s="733"/>
      <c r="F39" s="733">
        <v>47548843.010000005</v>
      </c>
      <c r="G39" s="733">
        <v>75697011.819999993</v>
      </c>
      <c r="H39" s="733">
        <f>D39/12*3</f>
        <v>131472895.24999994</v>
      </c>
      <c r="I39" s="44">
        <f t="shared" si="5"/>
        <v>-55775883.429999948</v>
      </c>
      <c r="J39" s="330">
        <f t="shared" si="6"/>
        <v>-0.42423864876437317</v>
      </c>
      <c r="K39" s="735">
        <f>D39</f>
        <v>525891580.99999982</v>
      </c>
    </row>
    <row r="40" spans="1:11" ht="42" customHeight="1" x14ac:dyDescent="0.2">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x14ac:dyDescent="0.2">
      <c r="A42" s="570" t="str">
        <f>'C4-FinPerf RE'!A42</f>
        <v>Surplus/(Deficit) after capital transfers &amp; contributions</v>
      </c>
      <c r="B42" s="309"/>
      <c r="C42" s="571">
        <f>C38+SUM(C39:C41)</f>
        <v>0</v>
      </c>
      <c r="D42" s="572">
        <f t="shared" ref="D42:K42" si="10">D38+SUM(D39:D41)</f>
        <v>941737276.8393333</v>
      </c>
      <c r="E42" s="514">
        <f t="shared" si="10"/>
        <v>0</v>
      </c>
      <c r="F42" s="514">
        <f t="shared" si="10"/>
        <v>-264436177.65999997</v>
      </c>
      <c r="G42" s="514">
        <f t="shared" si="10"/>
        <v>147830772.35000044</v>
      </c>
      <c r="H42" s="514">
        <f t="shared" si="10"/>
        <v>235434319.20983332</v>
      </c>
      <c r="I42" s="514">
        <f t="shared" si="5"/>
        <v>-87603546.859832883</v>
      </c>
      <c r="J42" s="515">
        <f t="shared" si="6"/>
        <v>-0.37209335985445391</v>
      </c>
      <c r="K42" s="573">
        <f t="shared" si="10"/>
        <v>941737276.8393333</v>
      </c>
    </row>
    <row r="43" spans="1:11" ht="12.75" customHeight="1" x14ac:dyDescent="0.2">
      <c r="A43" s="111" t="str">
        <f>'C4-FinPerf RE'!A43</f>
        <v>Taxation</v>
      </c>
      <c r="B43" s="169"/>
      <c r="C43" s="748"/>
      <c r="D43" s="745"/>
      <c r="E43" s="733"/>
      <c r="F43" s="733"/>
      <c r="G43" s="733"/>
      <c r="H43" s="733"/>
      <c r="I43" s="44">
        <f t="shared" si="5"/>
        <v>0</v>
      </c>
      <c r="J43" s="330" t="str">
        <f t="shared" si="6"/>
        <v/>
      </c>
      <c r="K43" s="735"/>
    </row>
    <row r="44" spans="1:11" ht="12.75" customHeight="1" x14ac:dyDescent="0.2">
      <c r="A44" s="53" t="str">
        <f>'C4-FinPerf RE'!A44</f>
        <v>Surplus/(Deficit) after taxation</v>
      </c>
      <c r="B44" s="236"/>
      <c r="C44" s="112">
        <f t="shared" ref="C44:H44" si="11">C42-C43</f>
        <v>0</v>
      </c>
      <c r="D44" s="56">
        <f t="shared" si="11"/>
        <v>941737276.8393333</v>
      </c>
      <c r="E44" s="55">
        <f t="shared" si="11"/>
        <v>0</v>
      </c>
      <c r="F44" s="55">
        <f t="shared" si="11"/>
        <v>-264436177.65999997</v>
      </c>
      <c r="G44" s="55">
        <f t="shared" si="11"/>
        <v>147830772.35000044</v>
      </c>
      <c r="H44" s="55">
        <f t="shared" si="11"/>
        <v>235434319.20983332</v>
      </c>
      <c r="I44" s="55">
        <f t="shared" si="5"/>
        <v>-87603546.859832883</v>
      </c>
      <c r="J44" s="332">
        <f t="shared" si="6"/>
        <v>-0.37209335985445391</v>
      </c>
      <c r="K44" s="235">
        <f>K42-K43</f>
        <v>941737276.8393333</v>
      </c>
    </row>
    <row r="45" spans="1:11" ht="12.75" customHeight="1" x14ac:dyDescent="0.2">
      <c r="A45" s="57" t="str">
        <f>head27a</f>
        <v>References</v>
      </c>
      <c r="B45" s="58"/>
      <c r="C45" s="62"/>
      <c r="D45" s="62"/>
      <c r="E45" s="62"/>
      <c r="F45" s="62"/>
      <c r="G45" s="62"/>
      <c r="H45" s="62"/>
      <c r="I45" s="62"/>
      <c r="J45" s="147"/>
      <c r="K45" s="62"/>
    </row>
    <row r="46" spans="1:11" ht="12.75" customHeight="1" x14ac:dyDescent="0.2">
      <c r="A46" s="80" t="s">
        <v>625</v>
      </c>
      <c r="B46" s="58"/>
      <c r="C46" s="62"/>
      <c r="D46" s="62"/>
      <c r="E46" s="62"/>
      <c r="F46" s="62"/>
      <c r="G46" s="62"/>
      <c r="H46" s="62"/>
      <c r="I46" s="62"/>
      <c r="J46" s="62"/>
      <c r="K46" s="62"/>
    </row>
    <row r="47" spans="1:11" ht="12.75" customHeight="1" x14ac:dyDescent="0.2">
      <c r="A47" s="65"/>
      <c r="B47" s="64"/>
      <c r="C47" s="66"/>
      <c r="D47" s="66"/>
      <c r="E47" s="66"/>
      <c r="F47" s="66"/>
      <c r="G47" s="66"/>
      <c r="H47" s="66"/>
      <c r="I47" s="66"/>
      <c r="J47" s="66"/>
      <c r="K47" s="66"/>
    </row>
    <row r="48" spans="1:11" ht="12.75" customHeight="1" x14ac:dyDescent="0.2">
      <c r="A48" s="65"/>
      <c r="B48" s="64"/>
      <c r="C48" s="66"/>
      <c r="D48" s="66"/>
      <c r="E48" s="66"/>
      <c r="F48" s="66"/>
      <c r="G48" s="66"/>
      <c r="H48" s="66"/>
      <c r="I48" s="66"/>
      <c r="J48" s="66"/>
      <c r="K48" s="66"/>
    </row>
    <row r="49" spans="2:2" ht="12.75" customHeight="1" x14ac:dyDescent="0.2">
      <c r="B49" s="25"/>
    </row>
    <row r="50" spans="2:2" ht="12.75" customHeight="1" x14ac:dyDescent="0.2">
      <c r="B50" s="25"/>
    </row>
    <row r="51" spans="2:2" ht="12.75" customHeight="1" x14ac:dyDescent="0.2">
      <c r="B51" s="25"/>
    </row>
    <row r="52" spans="2:2" ht="12.75" customHeight="1" x14ac:dyDescent="0.2">
      <c r="B52" s="25"/>
    </row>
    <row r="53" spans="2:2" ht="12.75" customHeight="1" x14ac:dyDescent="0.2">
      <c r="B53" s="25"/>
    </row>
    <row r="54" spans="2:2" ht="12.75" customHeight="1" x14ac:dyDescent="0.2">
      <c r="B54" s="25"/>
    </row>
    <row r="55" spans="2:2" ht="12.75" customHeight="1" x14ac:dyDescent="0.2">
      <c r="B55" s="25"/>
    </row>
    <row r="56" spans="2:2" ht="11.25" customHeight="1" x14ac:dyDescent="0.2">
      <c r="B56" s="25"/>
    </row>
    <row r="57" spans="2:2" ht="11.25" customHeight="1" x14ac:dyDescent="0.2">
      <c r="B57" s="25"/>
    </row>
    <row r="58" spans="2:2" ht="11.25" customHeight="1" x14ac:dyDescent="0.2">
      <c r="B58" s="25"/>
    </row>
    <row r="59" spans="2:2" ht="11.25" customHeight="1" x14ac:dyDescent="0.2">
      <c r="B59" s="25"/>
    </row>
    <row r="60" spans="2:2" ht="11.25" customHeight="1" x14ac:dyDescent="0.2">
      <c r="B60" s="25"/>
    </row>
    <row r="61" spans="2:2" ht="11.25" customHeight="1" x14ac:dyDescent="0.2">
      <c r="B61" s="25"/>
    </row>
    <row r="62" spans="2:2" ht="11.25" customHeight="1" x14ac:dyDescent="0.2">
      <c r="B62" s="25"/>
    </row>
    <row r="63" spans="2:2" ht="11.25" customHeight="1" x14ac:dyDescent="0.2">
      <c r="B63" s="25"/>
    </row>
    <row r="64" spans="2:2"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row r="83" spans="2:2"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"&amp;S71Q&amp; " - "&amp;Head57</f>
        <v>KZN225 Msunduzi - Supporting Table SC11 Monthly Budget Statement - summary of municipal entities - Q1 First Quarter</v>
      </c>
      <c r="B1" s="1053"/>
      <c r="C1" s="1053"/>
      <c r="D1" s="1053"/>
      <c r="E1" s="1053"/>
      <c r="F1" s="1053"/>
      <c r="G1" s="1053"/>
      <c r="H1" s="1053"/>
      <c r="I1" s="1053"/>
      <c r="J1" s="1053"/>
      <c r="K1" s="1053"/>
    </row>
    <row r="2" spans="1:11" x14ac:dyDescent="0.2">
      <c r="A2" s="1042" t="str">
        <f>desc</f>
        <v>Description</v>
      </c>
      <c r="B2" s="1035" t="str">
        <f>head27</f>
        <v>Ref</v>
      </c>
      <c r="C2" s="158" t="str">
        <f>Head1</f>
        <v>2019/20</v>
      </c>
      <c r="D2" s="1037" t="str">
        <f>Head2</f>
        <v>Budget Year 2020/21</v>
      </c>
      <c r="E2" s="1038"/>
      <c r="F2" s="1038"/>
      <c r="G2" s="1038"/>
      <c r="H2" s="1038"/>
      <c r="I2" s="1038"/>
      <c r="J2" s="1038"/>
      <c r="K2" s="1039"/>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24" t="s">
        <v>667</v>
      </c>
      <c r="B4" s="248"/>
      <c r="C4" s="292"/>
      <c r="D4" s="298"/>
      <c r="E4" s="294"/>
      <c r="F4" s="295"/>
      <c r="G4" s="295"/>
      <c r="H4" s="295"/>
      <c r="I4" s="295"/>
      <c r="J4" s="296" t="s">
        <v>575</v>
      </c>
      <c r="K4" s="297"/>
    </row>
    <row r="5" spans="1:11" ht="12.75" customHeight="1" x14ac:dyDescent="0.2">
      <c r="A5" s="136" t="s">
        <v>552</v>
      </c>
      <c r="B5" s="169"/>
      <c r="C5" s="134"/>
      <c r="D5" s="258"/>
      <c r="E5" s="44"/>
      <c r="F5" s="44"/>
      <c r="G5" s="44"/>
      <c r="H5" s="44"/>
      <c r="I5" s="44"/>
      <c r="J5" s="44"/>
      <c r="K5" s="144"/>
    </row>
    <row r="6" spans="1:11" ht="12.75" customHeight="1" x14ac:dyDescent="0.2">
      <c r="A6" s="793" t="s">
        <v>75</v>
      </c>
      <c r="B6" s="169"/>
      <c r="C6" s="748"/>
      <c r="D6" s="753"/>
      <c r="E6" s="733"/>
      <c r="F6" s="733"/>
      <c r="G6" s="733"/>
      <c r="H6" s="733"/>
      <c r="I6" s="44">
        <f t="shared" ref="I6:I41" si="0">G6-H6</f>
        <v>0</v>
      </c>
      <c r="J6" s="330" t="str">
        <f>IF(I6=0,"",I6/H6)</f>
        <v/>
      </c>
      <c r="K6" s="735"/>
    </row>
    <row r="7" spans="1:11" ht="12.75" customHeight="1" x14ac:dyDescent="0.2">
      <c r="A7" s="776"/>
      <c r="B7" s="169"/>
      <c r="C7" s="748"/>
      <c r="D7" s="753"/>
      <c r="E7" s="733"/>
      <c r="F7" s="733"/>
      <c r="G7" s="733"/>
      <c r="H7" s="733"/>
      <c r="I7" s="44">
        <f t="shared" si="0"/>
        <v>0</v>
      </c>
      <c r="J7" s="330" t="str">
        <f t="shared" ref="J7:J16" si="1">IF(I7=0,"",I7/H7)</f>
        <v/>
      </c>
      <c r="K7" s="735"/>
    </row>
    <row r="8" spans="1:11" ht="12.75" customHeight="1" x14ac:dyDescent="0.2">
      <c r="A8" s="776"/>
      <c r="B8" s="169"/>
      <c r="C8" s="748"/>
      <c r="D8" s="753"/>
      <c r="E8" s="733"/>
      <c r="F8" s="733"/>
      <c r="G8" s="733"/>
      <c r="H8" s="733"/>
      <c r="I8" s="44">
        <f t="shared" si="0"/>
        <v>0</v>
      </c>
      <c r="J8" s="330" t="str">
        <f t="shared" si="1"/>
        <v/>
      </c>
      <c r="K8" s="735"/>
    </row>
    <row r="9" spans="1:11" ht="12.75" customHeight="1" x14ac:dyDescent="0.2">
      <c r="A9" s="776"/>
      <c r="B9" s="169"/>
      <c r="C9" s="748"/>
      <c r="D9" s="753"/>
      <c r="E9" s="733"/>
      <c r="F9" s="733"/>
      <c r="G9" s="733"/>
      <c r="H9" s="733"/>
      <c r="I9" s="44">
        <f t="shared" si="0"/>
        <v>0</v>
      </c>
      <c r="J9" s="330" t="str">
        <f t="shared" si="1"/>
        <v/>
      </c>
      <c r="K9" s="735"/>
    </row>
    <row r="10" spans="1:11" ht="12.75" customHeight="1" x14ac:dyDescent="0.2">
      <c r="A10" s="776"/>
      <c r="B10" s="169"/>
      <c r="C10" s="748"/>
      <c r="D10" s="753"/>
      <c r="E10" s="733"/>
      <c r="F10" s="733"/>
      <c r="G10" s="733"/>
      <c r="H10" s="733"/>
      <c r="I10" s="44">
        <f t="shared" si="0"/>
        <v>0</v>
      </c>
      <c r="J10" s="330" t="str">
        <f t="shared" si="1"/>
        <v/>
      </c>
      <c r="K10" s="735"/>
    </row>
    <row r="11" spans="1:11" ht="12.75" customHeight="1" x14ac:dyDescent="0.2">
      <c r="A11" s="776"/>
      <c r="B11" s="169"/>
      <c r="C11" s="748"/>
      <c r="D11" s="753"/>
      <c r="E11" s="733"/>
      <c r="F11" s="733"/>
      <c r="G11" s="733"/>
      <c r="H11" s="733"/>
      <c r="I11" s="44">
        <f t="shared" si="0"/>
        <v>0</v>
      </c>
      <c r="J11" s="330" t="str">
        <f t="shared" si="1"/>
        <v/>
      </c>
      <c r="K11" s="735"/>
    </row>
    <row r="12" spans="1:11" ht="12.75" customHeight="1" x14ac:dyDescent="0.2">
      <c r="A12" s="776"/>
      <c r="B12" s="169"/>
      <c r="C12" s="748"/>
      <c r="D12" s="753"/>
      <c r="E12" s="733"/>
      <c r="F12" s="733"/>
      <c r="G12" s="733"/>
      <c r="H12" s="733"/>
      <c r="I12" s="44">
        <f t="shared" si="0"/>
        <v>0</v>
      </c>
      <c r="J12" s="330" t="str">
        <f t="shared" si="1"/>
        <v/>
      </c>
      <c r="K12" s="735"/>
    </row>
    <row r="13" spans="1:11" ht="12.75" customHeight="1" x14ac:dyDescent="0.2">
      <c r="A13" s="776"/>
      <c r="B13" s="169"/>
      <c r="C13" s="748"/>
      <c r="D13" s="753"/>
      <c r="E13" s="733"/>
      <c r="F13" s="733"/>
      <c r="G13" s="733"/>
      <c r="H13" s="733"/>
      <c r="I13" s="44">
        <f t="shared" si="0"/>
        <v>0</v>
      </c>
      <c r="J13" s="330" t="str">
        <f t="shared" si="1"/>
        <v/>
      </c>
      <c r="K13" s="735"/>
    </row>
    <row r="14" spans="1:11" ht="12.75" customHeight="1" x14ac:dyDescent="0.2">
      <c r="A14" s="776"/>
      <c r="B14" s="169"/>
      <c r="C14" s="748"/>
      <c r="D14" s="753"/>
      <c r="E14" s="733"/>
      <c r="F14" s="733"/>
      <c r="G14" s="733"/>
      <c r="H14" s="733"/>
      <c r="I14" s="44">
        <f t="shared" si="0"/>
        <v>0</v>
      </c>
      <c r="J14" s="330" t="str">
        <f t="shared" si="1"/>
        <v/>
      </c>
      <c r="K14" s="735"/>
    </row>
    <row r="15" spans="1:11" ht="12.75" customHeight="1" x14ac:dyDescent="0.2">
      <c r="A15" s="776"/>
      <c r="B15" s="169"/>
      <c r="C15" s="748"/>
      <c r="D15" s="753"/>
      <c r="E15" s="733"/>
      <c r="F15" s="733"/>
      <c r="G15" s="733"/>
      <c r="H15" s="733"/>
      <c r="I15" s="44">
        <f t="shared" si="0"/>
        <v>0</v>
      </c>
      <c r="J15" s="330" t="str">
        <f t="shared" si="1"/>
        <v/>
      </c>
      <c r="K15" s="735"/>
    </row>
    <row r="16" spans="1:11" ht="12.75" customHeight="1" x14ac:dyDescent="0.2">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
      <c r="A17" s="42"/>
      <c r="B17" s="169"/>
      <c r="C17" s="134"/>
      <c r="D17" s="258"/>
      <c r="E17" s="44"/>
      <c r="F17" s="44"/>
      <c r="G17" s="44"/>
      <c r="H17" s="44"/>
      <c r="I17" s="44"/>
      <c r="J17" s="330"/>
      <c r="K17" s="144"/>
    </row>
    <row r="18" spans="1:11" ht="12.75" customHeight="1" x14ac:dyDescent="0.2">
      <c r="A18" s="35" t="s">
        <v>551</v>
      </c>
      <c r="B18" s="175"/>
      <c r="C18" s="134"/>
      <c r="D18" s="258"/>
      <c r="E18" s="44"/>
      <c r="F18" s="44"/>
      <c r="G18" s="44"/>
      <c r="H18" s="44"/>
      <c r="I18" s="44"/>
      <c r="J18" s="330"/>
      <c r="K18" s="144"/>
    </row>
    <row r="19" spans="1:11" ht="12.75" customHeight="1" x14ac:dyDescent="0.2">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
      <c r="A20" s="776" t="str">
        <f>IF(A7="","",A7)</f>
        <v/>
      </c>
      <c r="B20" s="171"/>
      <c r="C20" s="748"/>
      <c r="D20" s="753"/>
      <c r="E20" s="733"/>
      <c r="F20" s="733"/>
      <c r="G20" s="733"/>
      <c r="H20" s="733"/>
      <c r="I20" s="44">
        <f t="shared" si="0"/>
        <v>0</v>
      </c>
      <c r="J20" s="330" t="str">
        <f t="shared" si="3"/>
        <v/>
      </c>
      <c r="K20" s="735"/>
    </row>
    <row r="21" spans="1:11" ht="12.75" customHeight="1" x14ac:dyDescent="0.2">
      <c r="A21" s="776" t="str">
        <f t="shared" ref="A21:A28" si="4">IF(A8="","",A8)</f>
        <v/>
      </c>
      <c r="B21" s="171"/>
      <c r="C21" s="748"/>
      <c r="D21" s="753"/>
      <c r="E21" s="733"/>
      <c r="F21" s="733"/>
      <c r="G21" s="733"/>
      <c r="H21" s="733"/>
      <c r="I21" s="44">
        <f t="shared" si="0"/>
        <v>0</v>
      </c>
      <c r="J21" s="330" t="str">
        <f t="shared" si="3"/>
        <v/>
      </c>
      <c r="K21" s="735"/>
    </row>
    <row r="22" spans="1:11" ht="12.75" customHeight="1" x14ac:dyDescent="0.2">
      <c r="A22" s="776" t="str">
        <f t="shared" si="4"/>
        <v/>
      </c>
      <c r="B22" s="171"/>
      <c r="C22" s="748"/>
      <c r="D22" s="753"/>
      <c r="E22" s="733"/>
      <c r="F22" s="733"/>
      <c r="G22" s="733"/>
      <c r="H22" s="733"/>
      <c r="I22" s="44">
        <f t="shared" si="0"/>
        <v>0</v>
      </c>
      <c r="J22" s="330" t="str">
        <f t="shared" si="3"/>
        <v/>
      </c>
      <c r="K22" s="735"/>
    </row>
    <row r="23" spans="1:11" ht="12.75" customHeight="1" x14ac:dyDescent="0.2">
      <c r="A23" s="776" t="str">
        <f t="shared" si="4"/>
        <v/>
      </c>
      <c r="B23" s="171"/>
      <c r="C23" s="748"/>
      <c r="D23" s="753"/>
      <c r="E23" s="733"/>
      <c r="F23" s="733"/>
      <c r="G23" s="733"/>
      <c r="H23" s="733"/>
      <c r="I23" s="44">
        <f t="shared" si="0"/>
        <v>0</v>
      </c>
      <c r="J23" s="330" t="str">
        <f t="shared" si="3"/>
        <v/>
      </c>
      <c r="K23" s="735"/>
    </row>
    <row r="24" spans="1:11" ht="12.75" customHeight="1" x14ac:dyDescent="0.2">
      <c r="A24" s="776" t="str">
        <f t="shared" si="4"/>
        <v/>
      </c>
      <c r="B24" s="171"/>
      <c r="C24" s="748"/>
      <c r="D24" s="753"/>
      <c r="E24" s="733"/>
      <c r="F24" s="733"/>
      <c r="G24" s="733"/>
      <c r="H24" s="733"/>
      <c r="I24" s="44">
        <f t="shared" si="0"/>
        <v>0</v>
      </c>
      <c r="J24" s="330" t="str">
        <f t="shared" si="3"/>
        <v/>
      </c>
      <c r="K24" s="735"/>
    </row>
    <row r="25" spans="1:11" ht="12.75" customHeight="1" x14ac:dyDescent="0.2">
      <c r="A25" s="776" t="str">
        <f t="shared" si="4"/>
        <v/>
      </c>
      <c r="B25" s="171"/>
      <c r="C25" s="748"/>
      <c r="D25" s="753"/>
      <c r="E25" s="733"/>
      <c r="F25" s="733"/>
      <c r="G25" s="733"/>
      <c r="H25" s="733"/>
      <c r="I25" s="44">
        <f t="shared" si="0"/>
        <v>0</v>
      </c>
      <c r="J25" s="330" t="str">
        <f t="shared" si="3"/>
        <v/>
      </c>
      <c r="K25" s="735"/>
    </row>
    <row r="26" spans="1:11" ht="12.75" customHeight="1" x14ac:dyDescent="0.2">
      <c r="A26" s="776" t="str">
        <f t="shared" si="4"/>
        <v/>
      </c>
      <c r="B26" s="171"/>
      <c r="C26" s="748"/>
      <c r="D26" s="753"/>
      <c r="E26" s="733"/>
      <c r="F26" s="733"/>
      <c r="G26" s="733"/>
      <c r="H26" s="733"/>
      <c r="I26" s="44">
        <f t="shared" si="0"/>
        <v>0</v>
      </c>
      <c r="J26" s="330" t="str">
        <f t="shared" si="3"/>
        <v/>
      </c>
      <c r="K26" s="735"/>
    </row>
    <row r="27" spans="1:11" ht="12.75" customHeight="1" x14ac:dyDescent="0.2">
      <c r="A27" s="776" t="str">
        <f t="shared" si="4"/>
        <v/>
      </c>
      <c r="B27" s="171"/>
      <c r="C27" s="748"/>
      <c r="D27" s="753"/>
      <c r="E27" s="733"/>
      <c r="F27" s="733"/>
      <c r="G27" s="733"/>
      <c r="H27" s="733"/>
      <c r="I27" s="44">
        <f t="shared" si="0"/>
        <v>0</v>
      </c>
      <c r="J27" s="330" t="str">
        <f t="shared" si="3"/>
        <v/>
      </c>
      <c r="K27" s="735"/>
    </row>
    <row r="28" spans="1:11" ht="12.75" customHeight="1" x14ac:dyDescent="0.2">
      <c r="A28" s="776" t="str">
        <f t="shared" si="4"/>
        <v/>
      </c>
      <c r="B28" s="171"/>
      <c r="C28" s="748"/>
      <c r="D28" s="753"/>
      <c r="E28" s="733"/>
      <c r="F28" s="733"/>
      <c r="G28" s="733"/>
      <c r="H28" s="733"/>
      <c r="I28" s="44">
        <f t="shared" si="0"/>
        <v>0</v>
      </c>
      <c r="J28" s="330" t="str">
        <f t="shared" si="3"/>
        <v/>
      </c>
      <c r="K28" s="735"/>
    </row>
    <row r="29" spans="1:11" ht="12.75" customHeight="1" x14ac:dyDescent="0.2">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
      <c r="A30" s="42"/>
      <c r="B30" s="169"/>
      <c r="C30" s="134"/>
      <c r="D30" s="258"/>
      <c r="E30" s="44"/>
      <c r="F30" s="44"/>
      <c r="G30" s="44"/>
      <c r="H30" s="44"/>
      <c r="I30" s="44"/>
      <c r="J30" s="330" t="str">
        <f t="shared" si="3"/>
        <v/>
      </c>
      <c r="K30" s="144"/>
    </row>
    <row r="31" spans="1:11" ht="12.75" customHeight="1" x14ac:dyDescent="0.2">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
      <c r="A32" s="35" t="s">
        <v>819</v>
      </c>
      <c r="B32" s="171"/>
      <c r="C32" s="134"/>
      <c r="D32" s="258"/>
      <c r="E32" s="44"/>
      <c r="F32" s="44"/>
      <c r="G32" s="44"/>
      <c r="H32" s="44"/>
      <c r="I32" s="44"/>
      <c r="J32" s="330"/>
      <c r="K32" s="144"/>
    </row>
    <row r="33" spans="1:11" ht="12.75" customHeight="1" x14ac:dyDescent="0.2">
      <c r="A33" s="793" t="str">
        <f>$A$6</f>
        <v>Insert name of municipal entity</v>
      </c>
      <c r="B33" s="171"/>
      <c r="C33" s="748"/>
      <c r="D33" s="753"/>
      <c r="E33" s="733"/>
      <c r="F33" s="733"/>
      <c r="G33" s="733"/>
      <c r="H33" s="733"/>
      <c r="I33" s="44">
        <f t="shared" si="0"/>
        <v>0</v>
      </c>
      <c r="J33" s="330" t="str">
        <f t="shared" si="3"/>
        <v/>
      </c>
      <c r="K33" s="735"/>
    </row>
    <row r="34" spans="1:11" ht="12.75" customHeight="1" x14ac:dyDescent="0.2">
      <c r="A34" s="776" t="str">
        <f>IF(A7="","",A7)</f>
        <v/>
      </c>
      <c r="B34" s="171"/>
      <c r="C34" s="748"/>
      <c r="D34" s="753"/>
      <c r="E34" s="733"/>
      <c r="F34" s="733"/>
      <c r="G34" s="733"/>
      <c r="H34" s="733"/>
      <c r="I34" s="44">
        <f t="shared" si="0"/>
        <v>0</v>
      </c>
      <c r="J34" s="330" t="str">
        <f t="shared" si="3"/>
        <v/>
      </c>
      <c r="K34" s="735"/>
    </row>
    <row r="35" spans="1:11" ht="12.75" customHeight="1" x14ac:dyDescent="0.2">
      <c r="A35" s="776" t="str">
        <f t="shared" ref="A35:A41" si="7">IF(A8="","",A8)</f>
        <v/>
      </c>
      <c r="B35" s="171"/>
      <c r="C35" s="748"/>
      <c r="D35" s="753"/>
      <c r="E35" s="733"/>
      <c r="F35" s="733"/>
      <c r="G35" s="733"/>
      <c r="H35" s="733"/>
      <c r="I35" s="44">
        <f t="shared" si="0"/>
        <v>0</v>
      </c>
      <c r="J35" s="330" t="str">
        <f t="shared" si="3"/>
        <v/>
      </c>
      <c r="K35" s="735"/>
    </row>
    <row r="36" spans="1:11" ht="12.75" customHeight="1" x14ac:dyDescent="0.2">
      <c r="A36" s="776" t="str">
        <f t="shared" si="7"/>
        <v/>
      </c>
      <c r="B36" s="171"/>
      <c r="C36" s="748"/>
      <c r="D36" s="753"/>
      <c r="E36" s="733"/>
      <c r="F36" s="733"/>
      <c r="G36" s="733"/>
      <c r="H36" s="733"/>
      <c r="I36" s="44">
        <f t="shared" si="0"/>
        <v>0</v>
      </c>
      <c r="J36" s="330" t="str">
        <f t="shared" si="3"/>
        <v/>
      </c>
      <c r="K36" s="735"/>
    </row>
    <row r="37" spans="1:11" ht="12.75" customHeight="1" x14ac:dyDescent="0.2">
      <c r="A37" s="776" t="str">
        <f t="shared" si="7"/>
        <v/>
      </c>
      <c r="B37" s="171"/>
      <c r="C37" s="748"/>
      <c r="D37" s="753"/>
      <c r="E37" s="733"/>
      <c r="F37" s="733"/>
      <c r="G37" s="733"/>
      <c r="H37" s="733"/>
      <c r="I37" s="44">
        <f t="shared" si="0"/>
        <v>0</v>
      </c>
      <c r="J37" s="330" t="str">
        <f t="shared" si="3"/>
        <v/>
      </c>
      <c r="K37" s="735"/>
    </row>
    <row r="38" spans="1:11" ht="12.75" customHeight="1" x14ac:dyDescent="0.2">
      <c r="A38" s="776" t="str">
        <f t="shared" si="7"/>
        <v/>
      </c>
      <c r="B38" s="171"/>
      <c r="C38" s="748"/>
      <c r="D38" s="753"/>
      <c r="E38" s="733"/>
      <c r="F38" s="733"/>
      <c r="G38" s="733"/>
      <c r="H38" s="733"/>
      <c r="I38" s="44">
        <f t="shared" si="0"/>
        <v>0</v>
      </c>
      <c r="J38" s="330" t="str">
        <f t="shared" si="3"/>
        <v/>
      </c>
      <c r="K38" s="735"/>
    </row>
    <row r="39" spans="1:11" ht="12.75" customHeight="1" x14ac:dyDescent="0.2">
      <c r="A39" s="776" t="str">
        <f t="shared" si="7"/>
        <v/>
      </c>
      <c r="B39" s="171"/>
      <c r="C39" s="748"/>
      <c r="D39" s="753"/>
      <c r="E39" s="733"/>
      <c r="F39" s="733"/>
      <c r="G39" s="733"/>
      <c r="H39" s="733"/>
      <c r="I39" s="44">
        <f t="shared" si="0"/>
        <v>0</v>
      </c>
      <c r="J39" s="330" t="str">
        <f t="shared" si="3"/>
        <v/>
      </c>
      <c r="K39" s="735"/>
    </row>
    <row r="40" spans="1:11" ht="12.75" customHeight="1" x14ac:dyDescent="0.2">
      <c r="A40" s="776" t="str">
        <f t="shared" si="7"/>
        <v/>
      </c>
      <c r="B40" s="171"/>
      <c r="C40" s="748"/>
      <c r="D40" s="753"/>
      <c r="E40" s="733"/>
      <c r="F40" s="733"/>
      <c r="G40" s="733"/>
      <c r="H40" s="733"/>
      <c r="I40" s="44">
        <f t="shared" si="0"/>
        <v>0</v>
      </c>
      <c r="J40" s="330" t="str">
        <f t="shared" si="3"/>
        <v/>
      </c>
      <c r="K40" s="735"/>
    </row>
    <row r="41" spans="1:11" ht="12.75" customHeight="1" x14ac:dyDescent="0.2">
      <c r="A41" s="776" t="str">
        <f t="shared" si="7"/>
        <v/>
      </c>
      <c r="B41" s="171"/>
      <c r="C41" s="748"/>
      <c r="D41" s="753"/>
      <c r="E41" s="733"/>
      <c r="F41" s="733"/>
      <c r="G41" s="733"/>
      <c r="H41" s="733"/>
      <c r="I41" s="44">
        <f t="shared" si="0"/>
        <v>0</v>
      </c>
      <c r="J41" s="330" t="str">
        <f t="shared" si="3"/>
        <v/>
      </c>
      <c r="K41" s="735"/>
    </row>
    <row r="42" spans="1:11" ht="5.0999999999999996" customHeight="1" x14ac:dyDescent="0.2">
      <c r="A42" s="776"/>
      <c r="B42" s="171"/>
      <c r="C42" s="748"/>
      <c r="D42" s="753"/>
      <c r="E42" s="733"/>
      <c r="F42" s="733"/>
      <c r="G42" s="733"/>
      <c r="H42" s="733"/>
      <c r="I42" s="44"/>
      <c r="J42" s="330" t="str">
        <f t="shared" si="3"/>
        <v/>
      </c>
      <c r="K42" s="735"/>
    </row>
    <row r="43" spans="1:11" ht="12.75" customHeight="1" x14ac:dyDescent="0.2">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
      <c r="A44" s="57" t="str">
        <f>head27a</f>
        <v>References</v>
      </c>
      <c r="B44" s="114"/>
      <c r="C44" s="43"/>
      <c r="D44" s="43"/>
      <c r="E44" s="43"/>
      <c r="F44" s="43"/>
      <c r="G44" s="43"/>
      <c r="H44" s="43"/>
      <c r="I44" s="43"/>
      <c r="J44" s="43"/>
      <c r="K44" s="43"/>
    </row>
    <row r="45" spans="1:11" ht="12.75" customHeight="1" x14ac:dyDescent="0.2">
      <c r="A45" s="80" t="s">
        <v>969</v>
      </c>
      <c r="B45" s="58"/>
      <c r="C45" s="62"/>
      <c r="D45" s="62"/>
      <c r="E45" s="62"/>
      <c r="F45" s="62"/>
      <c r="G45" s="62"/>
      <c r="H45" s="62"/>
      <c r="I45" s="62"/>
      <c r="J45" s="62"/>
      <c r="K45" s="62"/>
    </row>
    <row r="46" spans="1:11" ht="12.75" customHeight="1" x14ac:dyDescent="0.2">
      <c r="A46" s="80" t="s">
        <v>970</v>
      </c>
      <c r="B46" s="58"/>
      <c r="C46" s="62"/>
      <c r="D46" s="62"/>
      <c r="E46" s="62"/>
      <c r="F46" s="62"/>
      <c r="G46" s="62"/>
      <c r="H46" s="62"/>
      <c r="I46" s="62"/>
      <c r="J46" s="62"/>
      <c r="K46" s="62"/>
    </row>
    <row r="47" spans="1:11" ht="12.75" customHeight="1" x14ac:dyDescent="0.2">
      <c r="A47" s="60" t="s">
        <v>619</v>
      </c>
      <c r="B47" s="58"/>
      <c r="C47" s="62"/>
      <c r="D47" s="62"/>
      <c r="E47" s="62"/>
      <c r="F47" s="62"/>
      <c r="G47" s="62"/>
      <c r="H47" s="62"/>
      <c r="I47" s="62"/>
      <c r="J47" s="62"/>
      <c r="K47" s="62"/>
    </row>
    <row r="48" spans="1:11" ht="12.75" customHeight="1" x14ac:dyDescent="0.2">
      <c r="A48" s="80" t="s">
        <v>641</v>
      </c>
      <c r="B48" s="58"/>
      <c r="C48" s="62"/>
      <c r="D48" s="62"/>
      <c r="E48" s="62"/>
      <c r="F48" s="62"/>
      <c r="G48" s="62"/>
      <c r="H48" s="62"/>
      <c r="I48" s="62"/>
      <c r="J48" s="62"/>
      <c r="K48" s="62"/>
    </row>
    <row r="49" spans="1:11" ht="12.75" customHeight="1" x14ac:dyDescent="0.2">
      <c r="A49" s="322" t="s">
        <v>572</v>
      </c>
      <c r="B49" s="64"/>
      <c r="C49" s="66"/>
      <c r="D49" s="66"/>
      <c r="E49" s="66"/>
      <c r="F49" s="66"/>
      <c r="G49" s="66"/>
      <c r="H49" s="66"/>
      <c r="I49" s="66"/>
      <c r="J49" s="66"/>
      <c r="K49" s="66"/>
    </row>
    <row r="50" spans="1:11" ht="11.25" customHeight="1" x14ac:dyDescent="0.2">
      <c r="A50" s="65"/>
      <c r="B50" s="64"/>
      <c r="C50" s="66"/>
      <c r="D50" s="66"/>
      <c r="E50" s="66"/>
      <c r="F50" s="66"/>
      <c r="G50" s="66"/>
      <c r="H50" s="66"/>
      <c r="I50" s="66"/>
      <c r="J50" s="66"/>
      <c r="K50" s="66"/>
    </row>
    <row r="51" spans="1:11" ht="11.25" customHeight="1" x14ac:dyDescent="0.2">
      <c r="B51" s="25"/>
    </row>
    <row r="52" spans="1:11" ht="11.25" customHeight="1" x14ac:dyDescent="0.2">
      <c r="B52" s="25"/>
    </row>
    <row r="53" spans="1:11" x14ac:dyDescent="0.2">
      <c r="B53" s="25"/>
    </row>
    <row r="54" spans="1:11" ht="11.25" customHeight="1" x14ac:dyDescent="0.2">
      <c r="B54" s="25"/>
    </row>
    <row r="55" spans="1:11" ht="11.25" customHeight="1" x14ac:dyDescent="0.2">
      <c r="B55" s="25"/>
    </row>
    <row r="56" spans="1:11" ht="11.25" customHeight="1" x14ac:dyDescent="0.2">
      <c r="B56" s="25"/>
    </row>
    <row r="57" spans="1:11" x14ac:dyDescent="0.2">
      <c r="B57" s="25"/>
    </row>
    <row r="58" spans="1:11" ht="11.25" customHeight="1" x14ac:dyDescent="0.2">
      <c r="B58" s="25"/>
    </row>
    <row r="59" spans="1:11" ht="11.25" customHeight="1" x14ac:dyDescent="0.2">
      <c r="B59" s="25"/>
    </row>
    <row r="60" spans="1:11" x14ac:dyDescent="0.2">
      <c r="B60" s="25"/>
    </row>
    <row r="61" spans="1:11" ht="11.25" customHeight="1" x14ac:dyDescent="0.2">
      <c r="B61" s="25"/>
    </row>
    <row r="62" spans="1:11" ht="11.25" customHeight="1" x14ac:dyDescent="0.2">
      <c r="B62" s="25"/>
    </row>
    <row r="63" spans="1:11" ht="11.25" customHeight="1" x14ac:dyDescent="0.2">
      <c r="B63" s="25"/>
    </row>
    <row r="64" spans="1:1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8" sqref="E8"/>
    </sheetView>
  </sheetViews>
  <sheetFormatPr defaultColWidth="9.109375" defaultRowHeight="10.199999999999999" x14ac:dyDescent="0.2"/>
  <cols>
    <col min="1" max="1" width="35.109375" style="25" customWidth="1"/>
    <col min="2" max="7" width="8.6640625" style="25" customWidth="1"/>
    <col min="8" max="9" width="6.6640625" style="25" customWidth="1"/>
    <col min="10" max="10" width="8.6640625" style="25" customWidth="1"/>
    <col min="11" max="11" width="38.33203125" style="25" bestFit="1" customWidth="1"/>
    <col min="12" max="12" width="9.5546875" style="25" customWidth="1"/>
    <col min="13" max="13" width="9.88671875" style="25" customWidth="1"/>
    <col min="14" max="16" width="9.5546875" style="25" customWidth="1"/>
    <col min="17" max="18" width="9.88671875" style="25" customWidth="1"/>
    <col min="19" max="16384" width="9.109375" style="25"/>
  </cols>
  <sheetData>
    <row r="1" spans="1:10" ht="13.8" x14ac:dyDescent="0.3">
      <c r="A1" s="1053" t="str">
        <f>muni&amp; " - "&amp;S71R&amp; " - "&amp;Head57</f>
        <v>KZN225 Msunduzi - Supporting Table SC12 Consolidated Monthly Budget Statement - capital expenditure trend  - Q1 First Quarter</v>
      </c>
      <c r="B1" s="1053"/>
      <c r="C1" s="1053"/>
      <c r="D1" s="1053"/>
      <c r="E1" s="1053"/>
      <c r="F1" s="1053"/>
      <c r="G1" s="1053"/>
      <c r="H1" s="1053"/>
      <c r="I1" s="1053"/>
      <c r="J1" s="1053"/>
    </row>
    <row r="2" spans="1:10" x14ac:dyDescent="0.2">
      <c r="A2" s="1042" t="s">
        <v>887</v>
      </c>
      <c r="B2" s="139" t="str">
        <f>Head1</f>
        <v>2019/20</v>
      </c>
      <c r="C2" s="1037" t="str">
        <f>Head2</f>
        <v>Budget Year 2020/21</v>
      </c>
      <c r="D2" s="1038"/>
      <c r="E2" s="1038"/>
      <c r="F2" s="1038"/>
      <c r="G2" s="1038"/>
      <c r="H2" s="1038"/>
      <c r="I2" s="1038"/>
      <c r="J2" s="1039"/>
    </row>
    <row r="3" spans="1:10" ht="30.6" x14ac:dyDescent="0.2">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
      <c r="A4" s="291" t="s">
        <v>667</v>
      </c>
      <c r="B4" s="292"/>
      <c r="C4" s="298"/>
      <c r="D4" s="294"/>
      <c r="E4" s="295"/>
      <c r="F4" s="295"/>
      <c r="G4" s="295"/>
      <c r="H4" s="295"/>
      <c r="I4" s="296" t="s">
        <v>575</v>
      </c>
      <c r="J4" s="297"/>
    </row>
    <row r="5" spans="1:10" ht="12.75" customHeight="1" x14ac:dyDescent="0.2">
      <c r="A5" s="35" t="s">
        <v>473</v>
      </c>
      <c r="B5" s="134"/>
      <c r="C5" s="258"/>
      <c r="D5" s="44"/>
      <c r="E5" s="44"/>
      <c r="F5" s="44"/>
      <c r="G5" s="44"/>
      <c r="H5" s="44"/>
      <c r="I5" s="124"/>
      <c r="J5" s="144"/>
    </row>
    <row r="6" spans="1:10" ht="12.75" customHeight="1" x14ac:dyDescent="0.2">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
      <c r="A9" s="39" t="s">
        <v>906</v>
      </c>
      <c r="B9" s="748">
        <v>66093583.333333336</v>
      </c>
      <c r="C9" s="753">
        <v>48407631.75</v>
      </c>
      <c r="D9" s="733"/>
      <c r="E9" s="733"/>
      <c r="F9" s="408" t="str">
        <f t="shared" si="3"/>
        <v/>
      </c>
      <c r="G9" s="408">
        <f t="shared" ref="G9:G17" si="4">IF(D9&gt;0,D9+G8,C9+G8)</f>
        <v>193630527</v>
      </c>
      <c r="H9" s="44">
        <f t="shared" si="0"/>
        <v>0</v>
      </c>
      <c r="I9" s="124" t="str">
        <f t="shared" si="1"/>
        <v/>
      </c>
      <c r="J9" s="674" t="str">
        <f t="shared" si="2"/>
        <v/>
      </c>
    </row>
    <row r="10" spans="1:10" ht="12.75" customHeight="1" x14ac:dyDescent="0.2">
      <c r="A10" s="39" t="s">
        <v>907</v>
      </c>
      <c r="B10" s="748">
        <v>66093583.333333336</v>
      </c>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
      <c r="A18" s="94" t="s">
        <v>565</v>
      </c>
      <c r="B18" s="244">
        <f>SUM(B6:B17)</f>
        <v>793123000.00000012</v>
      </c>
      <c r="C18" s="265">
        <f>SUM(C6:C17)</f>
        <v>580891581</v>
      </c>
      <c r="D18" s="76">
        <f>SUM(D6:D17)</f>
        <v>0</v>
      </c>
      <c r="E18" s="76">
        <f>SUM(E6:E17)</f>
        <v>80820961.820000008</v>
      </c>
      <c r="F18" s="334"/>
      <c r="G18" s="334"/>
      <c r="H18" s="334"/>
      <c r="I18" s="410"/>
      <c r="J18" s="234"/>
    </row>
    <row r="19" spans="1:10" ht="12.75" customHeight="1" x14ac:dyDescent="0.2">
      <c r="A19" s="67"/>
      <c r="B19" s="84"/>
      <c r="C19" s="84"/>
      <c r="D19" s="84"/>
      <c r="E19" s="84"/>
      <c r="F19" s="84"/>
      <c r="G19" s="84"/>
      <c r="H19" s="84"/>
      <c r="I19" s="84"/>
      <c r="J19" s="84"/>
    </row>
    <row r="20" spans="1:10" ht="12.75" customHeight="1" x14ac:dyDescent="0.2">
      <c r="A20" s="67"/>
      <c r="B20" s="67"/>
      <c r="C20" s="67"/>
      <c r="D20" s="67"/>
      <c r="E20" s="67"/>
      <c r="F20" s="67"/>
      <c r="G20" s="67"/>
      <c r="H20" s="67"/>
      <c r="I20" s="67"/>
      <c r="J20" s="67"/>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Q1 First Quarter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6" t="s">
        <v>794</v>
      </c>
      <c r="B76" s="1007"/>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29" activePane="bottomRight" state="frozen"/>
      <selection pane="topRight"/>
      <selection pane="bottomLeft"/>
      <selection pane="bottomRight" activeCell="F34" sqref="F34:G34"/>
    </sheetView>
  </sheetViews>
  <sheetFormatPr defaultColWidth="9.109375" defaultRowHeight="10.199999999999999" x14ac:dyDescent="0.2"/>
  <cols>
    <col min="1" max="1" width="34.109375"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"&amp;S71Sa&amp; " - "&amp;Head57</f>
        <v>KZN225 Msunduzi - Supporting Table SC13a Consolidated Monthly Budget Statement - capital expenditure on new assets by asset class - Q1 First Quarter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879</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193018084.31836799</v>
      </c>
      <c r="E7" s="102">
        <f t="shared" si="0"/>
        <v>0</v>
      </c>
      <c r="F7" s="102">
        <f t="shared" si="0"/>
        <v>8255788.4900000002</v>
      </c>
      <c r="G7" s="102">
        <f t="shared" si="0"/>
        <v>8255788.4900000002</v>
      </c>
      <c r="H7" s="102">
        <f t="shared" si="0"/>
        <v>48254521.079591997</v>
      </c>
      <c r="I7" s="101">
        <f t="shared" ref="I7:I37" si="1">H7-G7</f>
        <v>39998732.589591995</v>
      </c>
      <c r="J7" s="579">
        <f t="shared" ref="J7:J37" si="2">IF(I7=0,"",I7/H7)</f>
        <v>0.82891160651283358</v>
      </c>
      <c r="K7" s="603">
        <f>K8+K13+K17+K27+K38+K45+K53+K63+K69</f>
        <v>193018084.31836799</v>
      </c>
    </row>
    <row r="8" spans="1:11" ht="12.75" customHeight="1" x14ac:dyDescent="0.2">
      <c r="A8" s="518" t="s">
        <v>1216</v>
      </c>
      <c r="B8" s="169"/>
      <c r="C8" s="677">
        <f t="shared" ref="C8:H8" si="3">SUM(C9:C12)</f>
        <v>0</v>
      </c>
      <c r="D8" s="609">
        <f t="shared" si="3"/>
        <v>10845780.900911285</v>
      </c>
      <c r="E8" s="608">
        <f t="shared" si="3"/>
        <v>0</v>
      </c>
      <c r="F8" s="608">
        <f t="shared" si="3"/>
        <v>0</v>
      </c>
      <c r="G8" s="608">
        <f t="shared" si="3"/>
        <v>0</v>
      </c>
      <c r="H8" s="608">
        <f t="shared" si="3"/>
        <v>2711445.2252278212</v>
      </c>
      <c r="I8" s="258">
        <f t="shared" si="1"/>
        <v>2711445.2252278212</v>
      </c>
      <c r="J8" s="575">
        <f t="shared" si="2"/>
        <v>1</v>
      </c>
      <c r="K8" s="610">
        <f>SUM(K9:K12)</f>
        <v>10845780.900911285</v>
      </c>
    </row>
    <row r="9" spans="1:11" ht="12.75" customHeight="1" x14ac:dyDescent="0.2">
      <c r="A9" s="574" t="s">
        <v>168</v>
      </c>
      <c r="B9" s="169"/>
      <c r="C9" s="748"/>
      <c r="D9" s="745">
        <v>10845780.900911285</v>
      </c>
      <c r="E9" s="733"/>
      <c r="F9" s="733"/>
      <c r="G9" s="733"/>
      <c r="H9" s="733">
        <f>D9/12*3</f>
        <v>2711445.2252278212</v>
      </c>
      <c r="I9" s="258">
        <f t="shared" si="1"/>
        <v>2711445.2252278212</v>
      </c>
      <c r="J9" s="575">
        <f t="shared" si="2"/>
        <v>1</v>
      </c>
      <c r="K9" s="735">
        <f>D9</f>
        <v>10845780.900911285</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133651704.65022203</v>
      </c>
      <c r="E17" s="408">
        <f t="shared" si="5"/>
        <v>0</v>
      </c>
      <c r="F17" s="408">
        <f t="shared" si="5"/>
        <v>0</v>
      </c>
      <c r="G17" s="408">
        <f t="shared" si="5"/>
        <v>0</v>
      </c>
      <c r="H17" s="408">
        <f t="shared" si="5"/>
        <v>33412926.162555508</v>
      </c>
      <c r="I17" s="258">
        <f t="shared" si="1"/>
        <v>33412926.162555508</v>
      </c>
      <c r="J17" s="575">
        <f t="shared" si="2"/>
        <v>1</v>
      </c>
      <c r="K17" s="642">
        <f>SUM(K18:K26)</f>
        <v>133651704.65022203</v>
      </c>
    </row>
    <row r="18" spans="1:11" ht="12.75" customHeight="1" x14ac:dyDescent="0.2">
      <c r="A18" s="574" t="s">
        <v>1225</v>
      </c>
      <c r="B18" s="169"/>
      <c r="C18" s="748"/>
      <c r="D18" s="745">
        <v>133651704.65022203</v>
      </c>
      <c r="E18" s="733"/>
      <c r="F18" s="733"/>
      <c r="G18" s="733"/>
      <c r="H18" s="733">
        <f>D18/12*3</f>
        <v>33412926.162555508</v>
      </c>
      <c r="I18" s="258">
        <f t="shared" si="1"/>
        <v>33412926.162555508</v>
      </c>
      <c r="J18" s="575">
        <f t="shared" si="2"/>
        <v>1</v>
      </c>
      <c r="K18" s="735">
        <f>D18</f>
        <v>133651704.65022203</v>
      </c>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0</v>
      </c>
      <c r="E27" s="408">
        <f t="shared" si="6"/>
        <v>0</v>
      </c>
      <c r="F27" s="408">
        <f t="shared" si="6"/>
        <v>6294640.6100000003</v>
      </c>
      <c r="G27" s="408">
        <f t="shared" si="6"/>
        <v>6294640.6100000003</v>
      </c>
      <c r="H27" s="408">
        <f t="shared" si="6"/>
        <v>0</v>
      </c>
      <c r="I27" s="258">
        <f t="shared" si="1"/>
        <v>-6294640.6100000003</v>
      </c>
      <c r="J27" s="575" t="e">
        <f t="shared" si="2"/>
        <v>#DIV/0!</v>
      </c>
      <c r="K27" s="642">
        <f>SUM(K28:K37)</f>
        <v>0</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v>6294640.6100000003</v>
      </c>
      <c r="G34" s="733">
        <v>6294640.6100000003</v>
      </c>
      <c r="H34" s="733"/>
      <c r="I34" s="258">
        <f t="shared" si="1"/>
        <v>-6294640.6100000003</v>
      </c>
      <c r="J34" s="575" t="e">
        <f t="shared" si="2"/>
        <v>#DIV/0!</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48520598.76723469</v>
      </c>
      <c r="E38" s="408">
        <f t="shared" si="7"/>
        <v>0</v>
      </c>
      <c r="F38" s="408">
        <f t="shared" si="7"/>
        <v>1961147.88</v>
      </c>
      <c r="G38" s="408">
        <f t="shared" si="7"/>
        <v>1961147.88</v>
      </c>
      <c r="H38" s="408">
        <f t="shared" si="7"/>
        <v>12130149.691808673</v>
      </c>
      <c r="I38" s="258">
        <f t="shared" ref="I38:I44" si="8">H38-G38</f>
        <v>10169001.811808672</v>
      </c>
      <c r="J38" s="575">
        <f t="shared" ref="J38:J44" si="9">IF(I38=0,"",I38/H38)</f>
        <v>0.83832451125278873</v>
      </c>
      <c r="K38" s="642">
        <f>SUM(K39:K44)</f>
        <v>48520598.76723469</v>
      </c>
    </row>
    <row r="39" spans="1:11" ht="12.75" customHeight="1" x14ac:dyDescent="0.2">
      <c r="A39" s="574" t="s">
        <v>1244</v>
      </c>
      <c r="B39" s="169"/>
      <c r="C39" s="748"/>
      <c r="D39" s="745"/>
      <c r="E39" s="733"/>
      <c r="F39" s="733"/>
      <c r="G39" s="733"/>
      <c r="H39" s="733"/>
      <c r="I39" s="258">
        <f t="shared" si="8"/>
        <v>0</v>
      </c>
      <c r="J39" s="575" t="str">
        <f t="shared" si="9"/>
        <v/>
      </c>
      <c r="K39" s="735"/>
    </row>
    <row r="40" spans="1:11" ht="12.75" customHeight="1" x14ac:dyDescent="0.2">
      <c r="A40" s="574" t="s">
        <v>135</v>
      </c>
      <c r="B40" s="169"/>
      <c r="C40" s="748"/>
      <c r="D40" s="745">
        <v>48520598.76723469</v>
      </c>
      <c r="E40" s="733"/>
      <c r="F40" s="733">
        <v>1961147.88</v>
      </c>
      <c r="G40" s="733">
        <v>1961147.88</v>
      </c>
      <c r="H40" s="733">
        <f>D40/12*3</f>
        <v>12130149.691808673</v>
      </c>
      <c r="I40" s="258">
        <f>H40-G40</f>
        <v>10169001.811808672</v>
      </c>
      <c r="J40" s="575">
        <f>IF(I40=0,"",I40/H40)</f>
        <v>0.83832451125278873</v>
      </c>
      <c r="K40" s="735">
        <f>D40</f>
        <v>48520598.76723469</v>
      </c>
    </row>
    <row r="41" spans="1:11" ht="12.75" customHeight="1" x14ac:dyDescent="0.2">
      <c r="A41" s="574" t="s">
        <v>1245</v>
      </c>
      <c r="B41" s="169"/>
      <c r="C41" s="748"/>
      <c r="D41" s="745"/>
      <c r="E41" s="733"/>
      <c r="F41" s="733"/>
      <c r="G41" s="733"/>
      <c r="H41" s="733"/>
      <c r="I41" s="258">
        <f>H41-G41</f>
        <v>0</v>
      </c>
      <c r="J41" s="575" t="str">
        <f>IF(I41=0,"",I41/H41)</f>
        <v/>
      </c>
      <c r="K41" s="735"/>
    </row>
    <row r="42" spans="1:11" ht="12.75" customHeight="1" x14ac:dyDescent="0.2">
      <c r="A42" s="574" t="s">
        <v>1246</v>
      </c>
      <c r="B42" s="169"/>
      <c r="C42" s="748"/>
      <c r="D42" s="745"/>
      <c r="E42" s="733"/>
      <c r="F42" s="733"/>
      <c r="G42" s="733"/>
      <c r="H42" s="733"/>
      <c r="I42" s="258">
        <f>H42-G42</f>
        <v>0</v>
      </c>
      <c r="J42" s="575" t="str">
        <f>IF(I42=0,"",I42/H42)</f>
        <v/>
      </c>
      <c r="K42" s="735"/>
    </row>
    <row r="43" spans="1:11" ht="12.75" customHeight="1" x14ac:dyDescent="0.2">
      <c r="A43" s="574" t="s">
        <v>1247</v>
      </c>
      <c r="B43" s="169"/>
      <c r="C43" s="748"/>
      <c r="D43" s="745"/>
      <c r="E43" s="733"/>
      <c r="F43" s="733"/>
      <c r="G43" s="733"/>
      <c r="H43" s="733"/>
      <c r="I43" s="258">
        <f t="shared" si="8"/>
        <v>0</v>
      </c>
      <c r="J43" s="575" t="str">
        <f t="shared" si="9"/>
        <v/>
      </c>
      <c r="K43" s="735"/>
    </row>
    <row r="44" spans="1:11" ht="12.75" customHeight="1" x14ac:dyDescent="0.2">
      <c r="A44" s="574" t="s">
        <v>1219</v>
      </c>
      <c r="B44" s="169"/>
      <c r="C44" s="748"/>
      <c r="D44" s="745"/>
      <c r="E44" s="733"/>
      <c r="F44" s="733"/>
      <c r="G44" s="733"/>
      <c r="H44" s="733"/>
      <c r="I44" s="258">
        <f t="shared" si="8"/>
        <v>0</v>
      </c>
      <c r="J44" s="575" t="str">
        <f t="shared" si="9"/>
        <v/>
      </c>
      <c r="K44" s="735"/>
    </row>
    <row r="45" spans="1:11" ht="12.75" customHeight="1" x14ac:dyDescent="0.2">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
      <c r="A46" s="574" t="s">
        <v>1249</v>
      </c>
      <c r="B46" s="169"/>
      <c r="C46" s="748"/>
      <c r="D46" s="745"/>
      <c r="E46" s="733"/>
      <c r="F46" s="733"/>
      <c r="G46" s="733"/>
      <c r="H46" s="733"/>
      <c r="I46" s="258">
        <f t="shared" si="11"/>
        <v>0</v>
      </c>
      <c r="J46" s="575" t="str">
        <f t="shared" si="12"/>
        <v/>
      </c>
      <c r="K46" s="735"/>
    </row>
    <row r="47" spans="1:11" ht="12.75" customHeight="1" x14ac:dyDescent="0.2">
      <c r="A47" s="574" t="s">
        <v>1250</v>
      </c>
      <c r="B47" s="169"/>
      <c r="C47" s="748"/>
      <c r="D47" s="745"/>
      <c r="E47" s="733"/>
      <c r="F47" s="733"/>
      <c r="G47" s="733"/>
      <c r="H47" s="733"/>
      <c r="I47" s="258">
        <f t="shared" si="11"/>
        <v>0</v>
      </c>
      <c r="J47" s="575" t="str">
        <f t="shared" si="12"/>
        <v/>
      </c>
      <c r="K47" s="735"/>
    </row>
    <row r="48" spans="1:11" ht="12.75" customHeight="1" x14ac:dyDescent="0.2">
      <c r="A48" s="574" t="s">
        <v>1251</v>
      </c>
      <c r="B48" s="169"/>
      <c r="C48" s="748"/>
      <c r="D48" s="745"/>
      <c r="E48" s="733"/>
      <c r="F48" s="733"/>
      <c r="G48" s="733"/>
      <c r="H48" s="733"/>
      <c r="I48" s="258">
        <f>H48-G48</f>
        <v>0</v>
      </c>
      <c r="J48" s="575" t="str">
        <f>IF(I48=0,"",I48/H48)</f>
        <v/>
      </c>
      <c r="K48" s="735"/>
    </row>
    <row r="49" spans="1:11" ht="12.75" customHeight="1" x14ac:dyDescent="0.2">
      <c r="A49" s="574" t="s">
        <v>1252</v>
      </c>
      <c r="B49" s="169"/>
      <c r="C49" s="748"/>
      <c r="D49" s="745"/>
      <c r="E49" s="733"/>
      <c r="F49" s="733"/>
      <c r="G49" s="733"/>
      <c r="H49" s="733"/>
      <c r="I49" s="258">
        <f t="shared" si="11"/>
        <v>0</v>
      </c>
      <c r="J49" s="575" t="str">
        <f t="shared" si="12"/>
        <v/>
      </c>
      <c r="K49" s="735"/>
    </row>
    <row r="50" spans="1:11" ht="12.75" customHeight="1" x14ac:dyDescent="0.2">
      <c r="A50" s="574" t="s">
        <v>1253</v>
      </c>
      <c r="B50" s="169"/>
      <c r="C50" s="748"/>
      <c r="D50" s="745"/>
      <c r="E50" s="733"/>
      <c r="F50" s="733"/>
      <c r="G50" s="733"/>
      <c r="H50" s="733"/>
      <c r="I50" s="258">
        <f t="shared" si="11"/>
        <v>0</v>
      </c>
      <c r="J50" s="575" t="str">
        <f t="shared" si="12"/>
        <v/>
      </c>
      <c r="K50" s="735"/>
    </row>
    <row r="51" spans="1:11" ht="12.75" customHeight="1" x14ac:dyDescent="0.2">
      <c r="A51" s="574" t="s">
        <v>1254</v>
      </c>
      <c r="B51" s="169"/>
      <c r="C51" s="748"/>
      <c r="D51" s="745"/>
      <c r="E51" s="733"/>
      <c r="F51" s="733"/>
      <c r="G51" s="733"/>
      <c r="H51" s="733"/>
      <c r="I51" s="258">
        <f t="shared" si="11"/>
        <v>0</v>
      </c>
      <c r="J51" s="575" t="str">
        <f t="shared" si="12"/>
        <v/>
      </c>
      <c r="K51" s="735"/>
    </row>
    <row r="52" spans="1:11" ht="12.75" customHeight="1" x14ac:dyDescent="0.2">
      <c r="A52" s="574" t="s">
        <v>1219</v>
      </c>
      <c r="B52" s="169"/>
      <c r="C52" s="748"/>
      <c r="D52" s="745"/>
      <c r="E52" s="733"/>
      <c r="F52" s="733"/>
      <c r="G52" s="733"/>
      <c r="H52" s="733"/>
      <c r="I52" s="258">
        <f t="shared" si="11"/>
        <v>0</v>
      </c>
      <c r="J52" s="575" t="str">
        <f t="shared" si="12"/>
        <v/>
      </c>
      <c r="K52" s="735"/>
    </row>
    <row r="53" spans="1:11" ht="12.75" customHeight="1" x14ac:dyDescent="0.2">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
      <c r="A54" s="574" t="s">
        <v>1256</v>
      </c>
      <c r="B54" s="169"/>
      <c r="C54" s="748"/>
      <c r="D54" s="745"/>
      <c r="E54" s="733"/>
      <c r="F54" s="733"/>
      <c r="G54" s="733"/>
      <c r="H54" s="733"/>
      <c r="I54" s="258">
        <f t="shared" si="11"/>
        <v>0</v>
      </c>
      <c r="J54" s="575" t="str">
        <f t="shared" si="12"/>
        <v/>
      </c>
      <c r="K54" s="735"/>
    </row>
    <row r="55" spans="1:11" ht="12.75" customHeight="1" x14ac:dyDescent="0.2">
      <c r="A55" s="574" t="s">
        <v>1257</v>
      </c>
      <c r="B55" s="169"/>
      <c r="C55" s="748"/>
      <c r="D55" s="745"/>
      <c r="E55" s="733"/>
      <c r="F55" s="733"/>
      <c r="G55" s="733"/>
      <c r="H55" s="733"/>
      <c r="I55" s="258">
        <f t="shared" si="11"/>
        <v>0</v>
      </c>
      <c r="J55" s="575" t="str">
        <f t="shared" si="12"/>
        <v/>
      </c>
      <c r="K55" s="735"/>
    </row>
    <row r="56" spans="1:11" ht="12.75" customHeight="1" x14ac:dyDescent="0.2">
      <c r="A56" s="574" t="s">
        <v>1258</v>
      </c>
      <c r="B56" s="169"/>
      <c r="C56" s="748"/>
      <c r="D56" s="745"/>
      <c r="E56" s="733"/>
      <c r="F56" s="733"/>
      <c r="G56" s="733"/>
      <c r="H56" s="733"/>
      <c r="I56" s="258">
        <f t="shared" si="11"/>
        <v>0</v>
      </c>
      <c r="J56" s="575" t="str">
        <f t="shared" si="12"/>
        <v/>
      </c>
      <c r="K56" s="735"/>
    </row>
    <row r="57" spans="1:11" ht="12.75" customHeight="1" x14ac:dyDescent="0.2">
      <c r="A57" s="574" t="s">
        <v>1221</v>
      </c>
      <c r="B57" s="169"/>
      <c r="C57" s="748"/>
      <c r="D57" s="745"/>
      <c r="E57" s="733"/>
      <c r="F57" s="733"/>
      <c r="G57" s="733"/>
      <c r="H57" s="733"/>
      <c r="I57" s="258">
        <f t="shared" si="11"/>
        <v>0</v>
      </c>
      <c r="J57" s="575" t="str">
        <f t="shared" si="12"/>
        <v/>
      </c>
      <c r="K57" s="735"/>
    </row>
    <row r="58" spans="1:11" ht="12.75" customHeight="1" x14ac:dyDescent="0.2">
      <c r="A58" s="574" t="s">
        <v>1222</v>
      </c>
      <c r="B58" s="169"/>
      <c r="C58" s="748"/>
      <c r="D58" s="745"/>
      <c r="E58" s="733"/>
      <c r="F58" s="733"/>
      <c r="G58" s="733"/>
      <c r="H58" s="733"/>
      <c r="I58" s="258">
        <f t="shared" si="11"/>
        <v>0</v>
      </c>
      <c r="J58" s="575" t="str">
        <f t="shared" si="12"/>
        <v/>
      </c>
      <c r="K58" s="735"/>
    </row>
    <row r="59" spans="1:11" ht="12.75" customHeight="1" x14ac:dyDescent="0.2">
      <c r="A59" s="574" t="s">
        <v>1223</v>
      </c>
      <c r="B59" s="169"/>
      <c r="C59" s="748"/>
      <c r="D59" s="745"/>
      <c r="E59" s="733"/>
      <c r="F59" s="733"/>
      <c r="G59" s="733"/>
      <c r="H59" s="733"/>
      <c r="I59" s="258">
        <f t="shared" si="11"/>
        <v>0</v>
      </c>
      <c r="J59" s="575" t="str">
        <f t="shared" si="12"/>
        <v/>
      </c>
      <c r="K59" s="735"/>
    </row>
    <row r="60" spans="1:11" ht="12.75" customHeight="1" x14ac:dyDescent="0.2">
      <c r="A60" s="574" t="s">
        <v>1229</v>
      </c>
      <c r="B60" s="169"/>
      <c r="C60" s="748"/>
      <c r="D60" s="745"/>
      <c r="E60" s="733"/>
      <c r="F60" s="733"/>
      <c r="G60" s="733"/>
      <c r="H60" s="733"/>
      <c r="I60" s="258">
        <f t="shared" si="11"/>
        <v>0</v>
      </c>
      <c r="J60" s="575" t="str">
        <f t="shared" si="12"/>
        <v/>
      </c>
      <c r="K60" s="735"/>
    </row>
    <row r="61" spans="1:11" ht="12.75" customHeight="1" x14ac:dyDescent="0.2">
      <c r="A61" s="574" t="s">
        <v>1232</v>
      </c>
      <c r="B61" s="169"/>
      <c r="C61" s="748"/>
      <c r="D61" s="745"/>
      <c r="E61" s="733"/>
      <c r="F61" s="733"/>
      <c r="G61" s="733"/>
      <c r="H61" s="733"/>
      <c r="I61" s="258">
        <f t="shared" si="11"/>
        <v>0</v>
      </c>
      <c r="J61" s="575" t="str">
        <f t="shared" si="12"/>
        <v/>
      </c>
      <c r="K61" s="735"/>
    </row>
    <row r="62" spans="1:11" ht="12.75" customHeight="1" x14ac:dyDescent="0.2">
      <c r="A62" s="574" t="s">
        <v>1219</v>
      </c>
      <c r="B62" s="169"/>
      <c r="C62" s="748"/>
      <c r="D62" s="745"/>
      <c r="E62" s="733"/>
      <c r="F62" s="733"/>
      <c r="G62" s="733"/>
      <c r="H62" s="733"/>
      <c r="I62" s="258">
        <f t="shared" si="11"/>
        <v>0</v>
      </c>
      <c r="J62" s="575" t="str">
        <f t="shared" si="12"/>
        <v/>
      </c>
      <c r="K62" s="735"/>
    </row>
    <row r="63" spans="1:11" ht="12.75" customHeight="1" x14ac:dyDescent="0.2">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
      <c r="A64" s="574" t="s">
        <v>1260</v>
      </c>
      <c r="B64" s="169"/>
      <c r="C64" s="748"/>
      <c r="D64" s="745"/>
      <c r="E64" s="733"/>
      <c r="F64" s="733"/>
      <c r="G64" s="733"/>
      <c r="H64" s="733"/>
      <c r="I64" s="258">
        <f t="shared" si="11"/>
        <v>0</v>
      </c>
      <c r="J64" s="575" t="str">
        <f t="shared" si="12"/>
        <v/>
      </c>
      <c r="K64" s="735"/>
    </row>
    <row r="65" spans="1:11" ht="12.75" customHeight="1" x14ac:dyDescent="0.2">
      <c r="A65" s="574" t="s">
        <v>1261</v>
      </c>
      <c r="B65" s="169"/>
      <c r="C65" s="748"/>
      <c r="D65" s="745"/>
      <c r="E65" s="733"/>
      <c r="F65" s="733"/>
      <c r="G65" s="733"/>
      <c r="H65" s="733"/>
      <c r="I65" s="258">
        <f t="shared" si="11"/>
        <v>0</v>
      </c>
      <c r="J65" s="575" t="str">
        <f t="shared" si="12"/>
        <v/>
      </c>
      <c r="K65" s="735"/>
    </row>
    <row r="66" spans="1:11" ht="12.75" customHeight="1" x14ac:dyDescent="0.2">
      <c r="A66" s="574" t="s">
        <v>1262</v>
      </c>
      <c r="B66" s="169"/>
      <c r="C66" s="748"/>
      <c r="D66" s="745"/>
      <c r="E66" s="733"/>
      <c r="F66" s="733"/>
      <c r="G66" s="733"/>
      <c r="H66" s="733"/>
      <c r="I66" s="258">
        <f t="shared" si="11"/>
        <v>0</v>
      </c>
      <c r="J66" s="575" t="str">
        <f t="shared" si="12"/>
        <v/>
      </c>
      <c r="K66" s="735"/>
    </row>
    <row r="67" spans="1:11" ht="12.75" customHeight="1" x14ac:dyDescent="0.2">
      <c r="A67" s="574" t="s">
        <v>1263</v>
      </c>
      <c r="B67" s="169"/>
      <c r="C67" s="748"/>
      <c r="D67" s="745"/>
      <c r="E67" s="733"/>
      <c r="F67" s="733"/>
      <c r="G67" s="733"/>
      <c r="H67" s="733"/>
      <c r="I67" s="258">
        <f t="shared" si="11"/>
        <v>0</v>
      </c>
      <c r="J67" s="575" t="str">
        <f t="shared" si="12"/>
        <v/>
      </c>
      <c r="K67" s="735"/>
    </row>
    <row r="68" spans="1:11" ht="12.75" customHeight="1" x14ac:dyDescent="0.2">
      <c r="A68" s="574" t="s">
        <v>1219</v>
      </c>
      <c r="B68" s="169"/>
      <c r="C68" s="748"/>
      <c r="D68" s="745"/>
      <c r="E68" s="733"/>
      <c r="F68" s="733"/>
      <c r="G68" s="733"/>
      <c r="H68" s="733"/>
      <c r="I68" s="258">
        <f t="shared" si="11"/>
        <v>0</v>
      </c>
      <c r="J68" s="575" t="str">
        <f t="shared" si="12"/>
        <v/>
      </c>
      <c r="K68" s="735"/>
    </row>
    <row r="69" spans="1:11" ht="12.75" customHeight="1" x14ac:dyDescent="0.2">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
      <c r="A70" s="574" t="s">
        <v>1265</v>
      </c>
      <c r="B70" s="169"/>
      <c r="C70" s="748"/>
      <c r="D70" s="745"/>
      <c r="E70" s="733"/>
      <c r="F70" s="733"/>
      <c r="G70" s="733"/>
      <c r="H70" s="733"/>
      <c r="I70" s="258">
        <f>H70-G70</f>
        <v>0</v>
      </c>
      <c r="J70" s="575" t="str">
        <f t="shared" si="16"/>
        <v/>
      </c>
      <c r="K70" s="735"/>
    </row>
    <row r="71" spans="1:11" ht="12.75" customHeight="1" x14ac:dyDescent="0.2">
      <c r="A71" s="574" t="s">
        <v>1266</v>
      </c>
      <c r="B71" s="169"/>
      <c r="C71" s="748"/>
      <c r="D71" s="745"/>
      <c r="E71" s="733"/>
      <c r="F71" s="733"/>
      <c r="G71" s="733"/>
      <c r="H71" s="733"/>
      <c r="I71" s="258">
        <f>H71-G71</f>
        <v>0</v>
      </c>
      <c r="J71" s="575" t="str">
        <f t="shared" si="16"/>
        <v/>
      </c>
      <c r="K71" s="735"/>
    </row>
    <row r="72" spans="1:11" ht="12.75" customHeight="1" x14ac:dyDescent="0.2">
      <c r="A72" s="574" t="s">
        <v>1267</v>
      </c>
      <c r="B72" s="169"/>
      <c r="C72" s="748"/>
      <c r="D72" s="745"/>
      <c r="E72" s="733"/>
      <c r="F72" s="733"/>
      <c r="G72" s="733"/>
      <c r="H72" s="733"/>
      <c r="I72" s="258">
        <f>H72-G72</f>
        <v>0</v>
      </c>
      <c r="J72" s="575" t="str">
        <f t="shared" si="16"/>
        <v/>
      </c>
      <c r="K72" s="735"/>
    </row>
    <row r="73" spans="1:11" ht="12.75" customHeight="1" x14ac:dyDescent="0.2">
      <c r="A73" s="574" t="s">
        <v>1219</v>
      </c>
      <c r="B73" s="169"/>
      <c r="C73" s="748"/>
      <c r="D73" s="745"/>
      <c r="E73" s="733"/>
      <c r="F73" s="733"/>
      <c r="G73" s="733"/>
      <c r="H73" s="733"/>
      <c r="I73" s="258">
        <f>H73-G73</f>
        <v>0</v>
      </c>
      <c r="J73" s="575" t="str">
        <f t="shared" si="16"/>
        <v/>
      </c>
      <c r="K73" s="735"/>
    </row>
    <row r="74" spans="1:11" ht="5.25" customHeight="1" x14ac:dyDescent="0.2">
      <c r="A74" s="574"/>
      <c r="B74" s="169"/>
      <c r="C74" s="134"/>
      <c r="D74" s="46"/>
      <c r="E74" s="44"/>
      <c r="F74" s="44"/>
      <c r="G74" s="44"/>
      <c r="H74" s="44"/>
      <c r="I74" s="258"/>
      <c r="J74" s="575" t="str">
        <f t="shared" si="16"/>
        <v/>
      </c>
      <c r="K74" s="144"/>
    </row>
    <row r="75" spans="1:11" ht="12.75" customHeight="1" x14ac:dyDescent="0.2">
      <c r="A75" s="35" t="s">
        <v>1288</v>
      </c>
      <c r="B75" s="169"/>
      <c r="C75" s="576">
        <f t="shared" ref="C75:H75" si="17">+C76+C99</f>
        <v>0</v>
      </c>
      <c r="D75" s="577">
        <f t="shared" si="17"/>
        <v>39558111.673645303</v>
      </c>
      <c r="E75" s="578">
        <f t="shared" si="17"/>
        <v>0</v>
      </c>
      <c r="F75" s="578">
        <f t="shared" si="17"/>
        <v>671032.66</v>
      </c>
      <c r="G75" s="578">
        <f t="shared" si="17"/>
        <v>955122.94000000006</v>
      </c>
      <c r="H75" s="578">
        <f t="shared" si="17"/>
        <v>9889527.9184113257</v>
      </c>
      <c r="I75" s="578">
        <f>H75-G75</f>
        <v>8934404.9784113262</v>
      </c>
      <c r="J75" s="579">
        <f t="shared" si="16"/>
        <v>0.90342077519981034</v>
      </c>
      <c r="K75" s="580">
        <f>+K76+K99</f>
        <v>39558111.673645303</v>
      </c>
    </row>
    <row r="76" spans="1:11" ht="12.75" customHeight="1" x14ac:dyDescent="0.2">
      <c r="A76" s="518" t="s">
        <v>1268</v>
      </c>
      <c r="B76" s="169"/>
      <c r="C76" s="648">
        <f t="shared" ref="C76:H76" si="18">SUM(C77:C98)</f>
        <v>0</v>
      </c>
      <c r="D76" s="649">
        <f t="shared" si="18"/>
        <v>39558111.673645303</v>
      </c>
      <c r="E76" s="408">
        <f t="shared" si="18"/>
        <v>0</v>
      </c>
      <c r="F76" s="408">
        <f t="shared" si="18"/>
        <v>671032.66</v>
      </c>
      <c r="G76" s="408">
        <f>SUM(G77:G98)</f>
        <v>955122.94000000006</v>
      </c>
      <c r="H76" s="408">
        <f t="shared" si="18"/>
        <v>9889527.9184113257</v>
      </c>
      <c r="I76" s="258">
        <f t="shared" ref="I76:I87" si="19">H76-G76</f>
        <v>8934404.9784113262</v>
      </c>
      <c r="J76" s="575">
        <f t="shared" ref="J76:J87" si="20">IF(I76=0,"",I76/H76)</f>
        <v>0.90342077519981034</v>
      </c>
      <c r="K76" s="642">
        <f>SUM(K77:K98)</f>
        <v>39558111.673645303</v>
      </c>
    </row>
    <row r="77" spans="1:11" ht="12.75" customHeight="1" x14ac:dyDescent="0.2">
      <c r="A77" s="574" t="s">
        <v>1269</v>
      </c>
      <c r="B77" s="169"/>
      <c r="C77" s="748"/>
      <c r="D77" s="753">
        <v>37464350.795641594</v>
      </c>
      <c r="E77" s="748"/>
      <c r="F77" s="733">
        <v>671032.66</v>
      </c>
      <c r="G77" s="733">
        <v>955122.94000000006</v>
      </c>
      <c r="H77" s="733">
        <f>D77/12*3</f>
        <v>9366087.6989103984</v>
      </c>
      <c r="I77" s="44" t="e">
        <f>H77-#REF!</f>
        <v>#REF!</v>
      </c>
      <c r="J77" s="124" t="e">
        <f t="shared" si="20"/>
        <v>#REF!</v>
      </c>
      <c r="K77" s="735">
        <f>D77</f>
        <v>37464350.795641594</v>
      </c>
    </row>
    <row r="78" spans="1:11" ht="12.75" customHeight="1" x14ac:dyDescent="0.2">
      <c r="A78" s="574" t="s">
        <v>1270</v>
      </c>
      <c r="B78" s="169"/>
      <c r="C78" s="748"/>
      <c r="D78" s="753"/>
      <c r="E78" s="733"/>
      <c r="F78" s="733"/>
      <c r="G78" s="733"/>
      <c r="H78" s="733"/>
      <c r="I78" s="44">
        <f t="shared" si="19"/>
        <v>0</v>
      </c>
      <c r="J78" s="124" t="str">
        <f t="shared" si="20"/>
        <v/>
      </c>
      <c r="K78" s="735">
        <v>0</v>
      </c>
    </row>
    <row r="79" spans="1:11" ht="12.75" customHeight="1" x14ac:dyDescent="0.2">
      <c r="A79" s="574" t="s">
        <v>1271</v>
      </c>
      <c r="B79" s="169"/>
      <c r="C79" s="748"/>
      <c r="D79" s="753"/>
      <c r="E79" s="733"/>
      <c r="F79" s="733"/>
      <c r="G79" s="733"/>
      <c r="H79" s="733"/>
      <c r="I79" s="44">
        <f t="shared" si="19"/>
        <v>0</v>
      </c>
      <c r="J79" s="124" t="str">
        <f t="shared" si="20"/>
        <v/>
      </c>
      <c r="K79" s="735">
        <v>0</v>
      </c>
    </row>
    <row r="80" spans="1:11" ht="12.75" customHeight="1" x14ac:dyDescent="0.2">
      <c r="A80" s="574" t="s">
        <v>1272</v>
      </c>
      <c r="B80" s="169"/>
      <c r="C80" s="748"/>
      <c r="D80" s="753"/>
      <c r="E80" s="733"/>
      <c r="F80" s="733"/>
      <c r="G80" s="733"/>
      <c r="H80" s="733"/>
      <c r="I80" s="44">
        <f t="shared" si="19"/>
        <v>0</v>
      </c>
      <c r="J80" s="124" t="str">
        <f t="shared" si="20"/>
        <v/>
      </c>
      <c r="K80" s="735">
        <v>0</v>
      </c>
    </row>
    <row r="81" spans="1:11" ht="12.75" customHeight="1" x14ac:dyDescent="0.2">
      <c r="A81" s="574" t="s">
        <v>1273</v>
      </c>
      <c r="B81" s="169"/>
      <c r="C81" s="748"/>
      <c r="D81" s="753"/>
      <c r="E81" s="733"/>
      <c r="F81" s="733"/>
      <c r="G81" s="733"/>
      <c r="H81" s="733"/>
      <c r="I81" s="44">
        <f t="shared" si="19"/>
        <v>0</v>
      </c>
      <c r="J81" s="124" t="str">
        <f t="shared" si="20"/>
        <v/>
      </c>
      <c r="K81" s="735">
        <v>0</v>
      </c>
    </row>
    <row r="82" spans="1:11" ht="12.75" customHeight="1" x14ac:dyDescent="0.2">
      <c r="A82" s="574" t="s">
        <v>1274</v>
      </c>
      <c r="B82" s="169"/>
      <c r="C82" s="748"/>
      <c r="D82" s="753"/>
      <c r="E82" s="733"/>
      <c r="F82" s="733"/>
      <c r="G82" s="733"/>
      <c r="H82" s="733"/>
      <c r="I82" s="44">
        <f t="shared" si="19"/>
        <v>0</v>
      </c>
      <c r="J82" s="124" t="str">
        <f t="shared" si="20"/>
        <v/>
      </c>
      <c r="K82" s="735">
        <v>0</v>
      </c>
    </row>
    <row r="83" spans="1:11" ht="12.75" customHeight="1" x14ac:dyDescent="0.2">
      <c r="A83" s="574" t="s">
        <v>1275</v>
      </c>
      <c r="B83" s="169"/>
      <c r="C83" s="748"/>
      <c r="D83" s="753"/>
      <c r="E83" s="733"/>
      <c r="F83" s="733"/>
      <c r="G83" s="733"/>
      <c r="H83" s="733"/>
      <c r="I83" s="44">
        <f t="shared" si="19"/>
        <v>0</v>
      </c>
      <c r="J83" s="124" t="str">
        <f t="shared" si="20"/>
        <v/>
      </c>
      <c r="K83" s="735">
        <v>0</v>
      </c>
    </row>
    <row r="84" spans="1:11" ht="12.75" customHeight="1" x14ac:dyDescent="0.2">
      <c r="A84" s="574" t="s">
        <v>1276</v>
      </c>
      <c r="B84" s="169"/>
      <c r="C84" s="748"/>
      <c r="D84" s="753">
        <v>1356247.7767417443</v>
      </c>
      <c r="E84" s="733"/>
      <c r="F84" s="733"/>
      <c r="G84" s="733"/>
      <c r="H84" s="733">
        <f>D84/12*3</f>
        <v>339061.94418543606</v>
      </c>
      <c r="I84" s="44">
        <f t="shared" si="19"/>
        <v>339061.94418543606</v>
      </c>
      <c r="J84" s="124">
        <f t="shared" si="20"/>
        <v>1</v>
      </c>
      <c r="K84" s="735">
        <f>D84</f>
        <v>1356247.7767417443</v>
      </c>
    </row>
    <row r="85" spans="1:11" ht="12.75" customHeight="1" x14ac:dyDescent="0.2">
      <c r="A85" s="574" t="s">
        <v>1152</v>
      </c>
      <c r="B85" s="169"/>
      <c r="C85" s="748"/>
      <c r="D85" s="753"/>
      <c r="E85" s="733"/>
      <c r="F85" s="733"/>
      <c r="G85" s="733"/>
      <c r="H85" s="733"/>
      <c r="I85" s="44">
        <f t="shared" si="19"/>
        <v>0</v>
      </c>
      <c r="J85" s="124" t="str">
        <f t="shared" si="20"/>
        <v/>
      </c>
      <c r="K85" s="735">
        <v>0</v>
      </c>
    </row>
    <row r="86" spans="1:11" ht="12.75" customHeight="1" x14ac:dyDescent="0.2">
      <c r="A86" s="574" t="s">
        <v>553</v>
      </c>
      <c r="B86" s="169"/>
      <c r="C86" s="748"/>
      <c r="D86" s="753"/>
      <c r="E86" s="733"/>
      <c r="F86" s="733"/>
      <c r="G86" s="733"/>
      <c r="H86" s="733"/>
      <c r="I86" s="44">
        <f t="shared" si="19"/>
        <v>0</v>
      </c>
      <c r="J86" s="124" t="str">
        <f t="shared" si="20"/>
        <v/>
      </c>
      <c r="K86" s="735">
        <v>0</v>
      </c>
    </row>
    <row r="87" spans="1:11" ht="12.75" customHeight="1" x14ac:dyDescent="0.2">
      <c r="A87" s="574" t="s">
        <v>1277</v>
      </c>
      <c r="B87" s="169"/>
      <c r="C87" s="748"/>
      <c r="D87" s="753"/>
      <c r="E87" s="733"/>
      <c r="F87" s="733"/>
      <c r="G87" s="733"/>
      <c r="H87" s="733"/>
      <c r="I87" s="44">
        <f t="shared" si="19"/>
        <v>0</v>
      </c>
      <c r="J87" s="124" t="str">
        <f t="shared" si="20"/>
        <v/>
      </c>
      <c r="K87" s="735">
        <v>0</v>
      </c>
    </row>
    <row r="88" spans="1:11" ht="12.75" customHeight="1" x14ac:dyDescent="0.2">
      <c r="A88" s="574" t="s">
        <v>166</v>
      </c>
      <c r="B88" s="169"/>
      <c r="C88" s="748"/>
      <c r="D88" s="753">
        <v>737513.10126196733</v>
      </c>
      <c r="E88" s="733"/>
      <c r="F88" s="733"/>
      <c r="G88" s="733"/>
      <c r="H88" s="733">
        <f>D88/12*3</f>
        <v>184378.27531549183</v>
      </c>
      <c r="I88" s="44">
        <f t="shared" ref="I88:I133" si="21">H88-G88</f>
        <v>184378.27531549183</v>
      </c>
      <c r="J88" s="124">
        <f t="shared" ref="J88:J119" si="22">IF(I88=0,"",I88/H88)</f>
        <v>1</v>
      </c>
      <c r="K88" s="735">
        <f>D88</f>
        <v>737513.10126196733</v>
      </c>
    </row>
    <row r="89" spans="1:11" ht="12.75" customHeight="1" x14ac:dyDescent="0.2">
      <c r="A89" s="574" t="s">
        <v>1278</v>
      </c>
      <c r="B89" s="169"/>
      <c r="C89" s="748"/>
      <c r="D89" s="753"/>
      <c r="E89" s="733"/>
      <c r="F89" s="733"/>
      <c r="G89" s="733"/>
      <c r="H89" s="733"/>
      <c r="I89" s="44">
        <f t="shared" si="21"/>
        <v>0</v>
      </c>
      <c r="J89" s="124" t="str">
        <f t="shared" si="22"/>
        <v/>
      </c>
      <c r="K89" s="735">
        <v>0</v>
      </c>
    </row>
    <row r="90" spans="1:11" ht="12.75" customHeight="1" x14ac:dyDescent="0.2">
      <c r="A90" s="574" t="s">
        <v>1279</v>
      </c>
      <c r="B90" s="169"/>
      <c r="C90" s="748"/>
      <c r="D90" s="753"/>
      <c r="E90" s="733"/>
      <c r="F90" s="733"/>
      <c r="G90" s="733"/>
      <c r="H90" s="733"/>
      <c r="I90" s="44">
        <f t="shared" si="21"/>
        <v>0</v>
      </c>
      <c r="J90" s="124" t="str">
        <f t="shared" si="22"/>
        <v/>
      </c>
      <c r="K90" s="735">
        <v>0</v>
      </c>
    </row>
    <row r="91" spans="1:11" ht="12.75" customHeight="1" x14ac:dyDescent="0.2">
      <c r="A91" s="574" t="s">
        <v>1280</v>
      </c>
      <c r="B91" s="169"/>
      <c r="C91" s="748"/>
      <c r="D91" s="753"/>
      <c r="E91" s="733"/>
      <c r="F91" s="733"/>
      <c r="G91" s="733"/>
      <c r="H91" s="733"/>
      <c r="I91" s="44">
        <f t="shared" si="21"/>
        <v>0</v>
      </c>
      <c r="J91" s="124" t="str">
        <f t="shared" si="22"/>
        <v/>
      </c>
      <c r="K91" s="735">
        <v>0</v>
      </c>
    </row>
    <row r="92" spans="1:11" ht="12.75" customHeight="1" x14ac:dyDescent="0.2">
      <c r="A92" s="574" t="s">
        <v>1281</v>
      </c>
      <c r="B92" s="169"/>
      <c r="C92" s="748"/>
      <c r="D92" s="753"/>
      <c r="E92" s="733"/>
      <c r="F92" s="733"/>
      <c r="G92" s="733"/>
      <c r="H92" s="733"/>
      <c r="I92" s="44">
        <f t="shared" si="21"/>
        <v>0</v>
      </c>
      <c r="J92" s="124" t="str">
        <f t="shared" si="22"/>
        <v/>
      </c>
      <c r="K92" s="735">
        <v>0</v>
      </c>
    </row>
    <row r="93" spans="1:11" ht="12.75" customHeight="1" x14ac:dyDescent="0.2">
      <c r="A93" s="574" t="s">
        <v>441</v>
      </c>
      <c r="B93" s="169"/>
      <c r="C93" s="748"/>
      <c r="D93" s="753"/>
      <c r="E93" s="733"/>
      <c r="F93" s="733"/>
      <c r="G93" s="733"/>
      <c r="H93" s="733"/>
      <c r="I93" s="44">
        <f t="shared" si="21"/>
        <v>0</v>
      </c>
      <c r="J93" s="124" t="str">
        <f t="shared" si="22"/>
        <v/>
      </c>
      <c r="K93" s="735">
        <v>0</v>
      </c>
    </row>
    <row r="94" spans="1:11" ht="12.75" customHeight="1" x14ac:dyDescent="0.2">
      <c r="A94" s="574" t="s">
        <v>1282</v>
      </c>
      <c r="B94" s="169"/>
      <c r="C94" s="748"/>
      <c r="D94" s="753"/>
      <c r="E94" s="733"/>
      <c r="F94" s="733"/>
      <c r="G94" s="733"/>
      <c r="H94" s="733"/>
      <c r="I94" s="44">
        <f t="shared" si="21"/>
        <v>0</v>
      </c>
      <c r="J94" s="124" t="str">
        <f t="shared" si="22"/>
        <v/>
      </c>
      <c r="K94" s="735">
        <v>0</v>
      </c>
    </row>
    <row r="95" spans="1:11" ht="12.75" customHeight="1" x14ac:dyDescent="0.2">
      <c r="A95" s="574" t="s">
        <v>440</v>
      </c>
      <c r="B95" s="169"/>
      <c r="C95" s="748"/>
      <c r="D95" s="753"/>
      <c r="E95" s="733"/>
      <c r="F95" s="733"/>
      <c r="G95" s="733"/>
      <c r="H95" s="733"/>
      <c r="I95" s="44">
        <f t="shared" si="21"/>
        <v>0</v>
      </c>
      <c r="J95" s="124" t="str">
        <f t="shared" si="22"/>
        <v/>
      </c>
      <c r="K95" s="735">
        <v>0</v>
      </c>
    </row>
    <row r="96" spans="1:11" ht="12.75" customHeight="1" x14ac:dyDescent="0.2">
      <c r="A96" s="574" t="s">
        <v>1283</v>
      </c>
      <c r="B96" s="169"/>
      <c r="C96" s="748"/>
      <c r="D96" s="753"/>
      <c r="E96" s="733"/>
      <c r="F96" s="733"/>
      <c r="G96" s="733"/>
      <c r="H96" s="733"/>
      <c r="I96" s="44">
        <f t="shared" si="21"/>
        <v>0</v>
      </c>
      <c r="J96" s="124" t="str">
        <f t="shared" si="22"/>
        <v/>
      </c>
      <c r="K96" s="735">
        <v>0</v>
      </c>
    </row>
    <row r="97" spans="1:11" ht="12.75" customHeight="1" x14ac:dyDescent="0.2">
      <c r="A97" s="574" t="s">
        <v>1284</v>
      </c>
      <c r="B97" s="169"/>
      <c r="C97" s="748"/>
      <c r="D97" s="753"/>
      <c r="E97" s="733"/>
      <c r="F97" s="733"/>
      <c r="G97" s="733"/>
      <c r="H97" s="733"/>
      <c r="I97" s="44">
        <f t="shared" si="21"/>
        <v>0</v>
      </c>
      <c r="J97" s="124" t="str">
        <f t="shared" si="22"/>
        <v/>
      </c>
      <c r="K97" s="735">
        <v>0</v>
      </c>
    </row>
    <row r="98" spans="1:11" ht="12.75" customHeight="1" x14ac:dyDescent="0.2">
      <c r="A98" s="574" t="s">
        <v>1219</v>
      </c>
      <c r="B98" s="169"/>
      <c r="C98" s="748"/>
      <c r="D98" s="753"/>
      <c r="E98" s="733"/>
      <c r="F98" s="733"/>
      <c r="G98" s="733"/>
      <c r="H98" s="733"/>
      <c r="I98" s="44">
        <f t="shared" si="21"/>
        <v>0</v>
      </c>
      <c r="J98" s="124" t="str">
        <f t="shared" si="22"/>
        <v/>
      </c>
      <c r="K98" s="735">
        <v>0</v>
      </c>
    </row>
    <row r="99" spans="1:11" ht="12.75" customHeight="1" x14ac:dyDescent="0.2">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
      <c r="A100" s="574" t="s">
        <v>1286</v>
      </c>
      <c r="B100" s="169"/>
      <c r="C100" s="748"/>
      <c r="D100" s="753"/>
      <c r="E100" s="733"/>
      <c r="F100" s="733"/>
      <c r="G100" s="733"/>
      <c r="H100" s="733"/>
      <c r="I100" s="44">
        <f t="shared" si="21"/>
        <v>0</v>
      </c>
      <c r="J100" s="124" t="str">
        <f t="shared" si="22"/>
        <v/>
      </c>
      <c r="K100" s="735"/>
    </row>
    <row r="101" spans="1:11" ht="12.75" customHeight="1" x14ac:dyDescent="0.2">
      <c r="A101" s="574" t="s">
        <v>1287</v>
      </c>
      <c r="B101" s="169"/>
      <c r="C101" s="748"/>
      <c r="D101" s="753"/>
      <c r="E101" s="733"/>
      <c r="F101" s="733"/>
      <c r="G101" s="733"/>
      <c r="H101" s="733"/>
      <c r="I101" s="44">
        <f t="shared" si="21"/>
        <v>0</v>
      </c>
      <c r="J101" s="124" t="str">
        <f t="shared" si="22"/>
        <v/>
      </c>
      <c r="K101" s="735"/>
    </row>
    <row r="102" spans="1:11" ht="12.75" customHeight="1" x14ac:dyDescent="0.2">
      <c r="A102" s="574" t="s">
        <v>1219</v>
      </c>
      <c r="B102" s="169"/>
      <c r="C102" s="748"/>
      <c r="D102" s="753"/>
      <c r="E102" s="733"/>
      <c r="F102" s="733"/>
      <c r="G102" s="733"/>
      <c r="H102" s="733"/>
      <c r="I102" s="44">
        <f t="shared" si="21"/>
        <v>0</v>
      </c>
      <c r="J102" s="124" t="str">
        <f t="shared" si="22"/>
        <v/>
      </c>
      <c r="K102" s="735"/>
    </row>
    <row r="103" spans="1:11" ht="12.75" customHeight="1" x14ac:dyDescent="0.2">
      <c r="A103" s="549" t="s">
        <v>670</v>
      </c>
      <c r="B103" s="169"/>
      <c r="C103" s="249">
        <f t="shared" ref="C103:H103" si="24">SUM(C104:C108)</f>
        <v>0</v>
      </c>
      <c r="D103" s="264">
        <f t="shared" si="24"/>
        <v>33918752.691165708</v>
      </c>
      <c r="E103" s="99">
        <f t="shared" si="24"/>
        <v>0</v>
      </c>
      <c r="F103" s="99">
        <f t="shared" si="24"/>
        <v>0</v>
      </c>
      <c r="G103" s="99">
        <f t="shared" si="24"/>
        <v>0</v>
      </c>
      <c r="H103" s="99">
        <f t="shared" si="24"/>
        <v>8479688.172791427</v>
      </c>
      <c r="I103" s="99">
        <f t="shared" si="21"/>
        <v>8479688.172791427</v>
      </c>
      <c r="J103" s="324">
        <f t="shared" si="22"/>
        <v>1</v>
      </c>
      <c r="K103" s="195">
        <f>SUM(K104:K108)</f>
        <v>33918752.691165708</v>
      </c>
    </row>
    <row r="104" spans="1:11" ht="12.75" customHeight="1" x14ac:dyDescent="0.2">
      <c r="A104" s="518" t="s">
        <v>1289</v>
      </c>
      <c r="B104" s="169"/>
      <c r="C104" s="786"/>
      <c r="D104" s="753"/>
      <c r="E104" s="733"/>
      <c r="F104" s="733"/>
      <c r="G104" s="733"/>
      <c r="H104" s="733"/>
      <c r="I104" s="44">
        <f t="shared" si="21"/>
        <v>0</v>
      </c>
      <c r="J104" s="124" t="str">
        <f t="shared" si="22"/>
        <v/>
      </c>
      <c r="K104" s="735">
        <v>0</v>
      </c>
    </row>
    <row r="105" spans="1:11" ht="12.75" customHeight="1" x14ac:dyDescent="0.2">
      <c r="A105" s="517" t="s">
        <v>1290</v>
      </c>
      <c r="B105" s="169"/>
      <c r="C105" s="786"/>
      <c r="D105" s="753"/>
      <c r="E105" s="733"/>
      <c r="F105" s="733"/>
      <c r="G105" s="733"/>
      <c r="H105" s="733"/>
      <c r="I105" s="44">
        <f t="shared" si="21"/>
        <v>0</v>
      </c>
      <c r="J105" s="124" t="str">
        <f t="shared" si="22"/>
        <v/>
      </c>
      <c r="K105" s="735">
        <v>0</v>
      </c>
    </row>
    <row r="106" spans="1:11" ht="12.75" customHeight="1" x14ac:dyDescent="0.2">
      <c r="A106" s="518" t="s">
        <v>1291</v>
      </c>
      <c r="B106" s="169"/>
      <c r="C106" s="786"/>
      <c r="D106" s="753"/>
      <c r="E106" s="733"/>
      <c r="F106" s="733"/>
      <c r="G106" s="733"/>
      <c r="H106" s="733"/>
      <c r="I106" s="44">
        <f t="shared" si="21"/>
        <v>0</v>
      </c>
      <c r="J106" s="124" t="str">
        <f t="shared" si="22"/>
        <v/>
      </c>
      <c r="K106" s="735">
        <v>0</v>
      </c>
    </row>
    <row r="107" spans="1:11" ht="12.75" customHeight="1" x14ac:dyDescent="0.2">
      <c r="A107" s="518" t="s">
        <v>1292</v>
      </c>
      <c r="B107" s="169"/>
      <c r="C107" s="786"/>
      <c r="D107" s="753"/>
      <c r="E107" s="733"/>
      <c r="F107" s="733"/>
      <c r="G107" s="733"/>
      <c r="H107" s="733"/>
      <c r="I107" s="44">
        <f t="shared" si="21"/>
        <v>0</v>
      </c>
      <c r="J107" s="124" t="str">
        <f t="shared" si="22"/>
        <v/>
      </c>
      <c r="K107" s="735">
        <v>0</v>
      </c>
    </row>
    <row r="108" spans="1:11" ht="12.75" customHeight="1" x14ac:dyDescent="0.2">
      <c r="A108" s="517" t="s">
        <v>1293</v>
      </c>
      <c r="B108" s="169"/>
      <c r="C108" s="786"/>
      <c r="D108" s="753">
        <v>33918752.691165708</v>
      </c>
      <c r="E108" s="733"/>
      <c r="F108" s="733"/>
      <c r="G108" s="733"/>
      <c r="H108" s="733">
        <f>D108/12*3</f>
        <v>8479688.172791427</v>
      </c>
      <c r="I108" s="44">
        <f t="shared" si="21"/>
        <v>8479688.172791427</v>
      </c>
      <c r="J108" s="124">
        <f t="shared" si="22"/>
        <v>1</v>
      </c>
      <c r="K108" s="735">
        <f>D108</f>
        <v>33918752.691165708</v>
      </c>
    </row>
    <row r="109" spans="1:11" ht="5.0999999999999996" customHeight="1" x14ac:dyDescent="0.2">
      <c r="A109" s="938"/>
      <c r="B109" s="169"/>
      <c r="C109" s="134"/>
      <c r="D109" s="258"/>
      <c r="E109" s="44"/>
      <c r="F109" s="44"/>
      <c r="G109" s="44"/>
      <c r="H109" s="44"/>
      <c r="I109" s="44">
        <f t="shared" si="21"/>
        <v>0</v>
      </c>
      <c r="J109" s="124" t="str">
        <f t="shared" si="22"/>
        <v/>
      </c>
      <c r="K109" s="144"/>
    </row>
    <row r="110" spans="1:11" ht="12.75" customHeight="1" x14ac:dyDescent="0.2">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
      <c r="A112" s="574" t="s">
        <v>1295</v>
      </c>
      <c r="B112" s="169"/>
      <c r="C112" s="748"/>
      <c r="D112" s="753"/>
      <c r="E112" s="733"/>
      <c r="F112" s="733"/>
      <c r="G112" s="733"/>
      <c r="H112" s="733"/>
      <c r="I112" s="44">
        <f t="shared" si="21"/>
        <v>0</v>
      </c>
      <c r="J112" s="124" t="str">
        <f t="shared" si="22"/>
        <v/>
      </c>
      <c r="K112" s="735"/>
    </row>
    <row r="113" spans="1:11" ht="12.75" customHeight="1" x14ac:dyDescent="0.2">
      <c r="A113" s="574" t="s">
        <v>1296</v>
      </c>
      <c r="B113" s="169"/>
      <c r="C113" s="748"/>
      <c r="D113" s="753"/>
      <c r="E113" s="733"/>
      <c r="F113" s="733"/>
      <c r="G113" s="733"/>
      <c r="H113" s="733"/>
      <c r="I113" s="44">
        <f t="shared" si="21"/>
        <v>0</v>
      </c>
      <c r="J113" s="124" t="str">
        <f t="shared" si="22"/>
        <v/>
      </c>
      <c r="K113" s="735"/>
    </row>
    <row r="114" spans="1:11" ht="12.75" customHeight="1" x14ac:dyDescent="0.2">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
      <c r="A115" s="574" t="s">
        <v>1295</v>
      </c>
      <c r="B115" s="169"/>
      <c r="C115" s="748"/>
      <c r="D115" s="753"/>
      <c r="E115" s="733"/>
      <c r="F115" s="733"/>
      <c r="G115" s="733"/>
      <c r="H115" s="733"/>
      <c r="I115" s="44">
        <f t="shared" si="21"/>
        <v>0</v>
      </c>
      <c r="J115" s="124" t="str">
        <f t="shared" si="22"/>
        <v/>
      </c>
      <c r="K115" s="735"/>
    </row>
    <row r="116" spans="1:11" ht="12.75" customHeight="1" x14ac:dyDescent="0.2">
      <c r="A116" s="574" t="s">
        <v>1296</v>
      </c>
      <c r="B116" s="169"/>
      <c r="C116" s="748"/>
      <c r="D116" s="753"/>
      <c r="E116" s="733"/>
      <c r="F116" s="733"/>
      <c r="G116" s="733"/>
      <c r="H116" s="733"/>
      <c r="I116" s="44">
        <f t="shared" si="21"/>
        <v>0</v>
      </c>
      <c r="J116" s="124" t="str">
        <f t="shared" si="22"/>
        <v/>
      </c>
      <c r="K116" s="735"/>
    </row>
    <row r="117" spans="1:11" ht="12.75" customHeight="1" x14ac:dyDescent="0.2">
      <c r="A117" s="939" t="s">
        <v>672</v>
      </c>
      <c r="B117" s="169"/>
      <c r="C117" s="576">
        <f t="shared" ref="C117:H117" si="28">+C118+C130</f>
        <v>0</v>
      </c>
      <c r="D117" s="577">
        <f t="shared" si="28"/>
        <v>3800000</v>
      </c>
      <c r="E117" s="578">
        <f t="shared" si="28"/>
        <v>0</v>
      </c>
      <c r="F117" s="578">
        <f t="shared" si="28"/>
        <v>11857888.949999999</v>
      </c>
      <c r="G117" s="578">
        <f t="shared" si="28"/>
        <v>11857888.949999999</v>
      </c>
      <c r="H117" s="578">
        <f t="shared" si="28"/>
        <v>950000</v>
      </c>
      <c r="I117" s="578">
        <f t="shared" si="21"/>
        <v>-10907888.949999999</v>
      </c>
      <c r="J117" s="579">
        <f t="shared" si="22"/>
        <v>-11.481988368421051</v>
      </c>
      <c r="K117" s="580">
        <f>+K118+K130</f>
        <v>3800000</v>
      </c>
    </row>
    <row r="118" spans="1:11" ht="12.75" customHeight="1" x14ac:dyDescent="0.2">
      <c r="A118" s="518" t="s">
        <v>1298</v>
      </c>
      <c r="B118" s="169"/>
      <c r="C118" s="648">
        <f t="shared" ref="C118:H118" si="29">SUM(C119:C129)</f>
        <v>0</v>
      </c>
      <c r="D118" s="649">
        <f t="shared" si="29"/>
        <v>3800000</v>
      </c>
      <c r="E118" s="408">
        <f t="shared" si="29"/>
        <v>0</v>
      </c>
      <c r="F118" s="408">
        <f t="shared" si="29"/>
        <v>0</v>
      </c>
      <c r="G118" s="408">
        <f t="shared" si="29"/>
        <v>0</v>
      </c>
      <c r="H118" s="408">
        <f t="shared" si="29"/>
        <v>950000</v>
      </c>
      <c r="I118" s="258">
        <f t="shared" si="21"/>
        <v>950000</v>
      </c>
      <c r="J118" s="575">
        <f t="shared" si="22"/>
        <v>1</v>
      </c>
      <c r="K118" s="642">
        <f>SUM(K119:K129)</f>
        <v>3800000</v>
      </c>
    </row>
    <row r="119" spans="1:11" ht="12.75" customHeight="1" x14ac:dyDescent="0.2">
      <c r="A119" s="574" t="s">
        <v>1299</v>
      </c>
      <c r="B119" s="169"/>
      <c r="C119" s="748"/>
      <c r="D119" s="753">
        <v>3800000</v>
      </c>
      <c r="E119" s="733"/>
      <c r="F119" s="733"/>
      <c r="G119" s="733"/>
      <c r="H119" s="733">
        <f>D119/12*3</f>
        <v>950000</v>
      </c>
      <c r="I119" s="44">
        <f t="shared" si="21"/>
        <v>950000</v>
      </c>
      <c r="J119" s="124">
        <f t="shared" si="22"/>
        <v>1</v>
      </c>
      <c r="K119" s="735">
        <f>D119</f>
        <v>3800000</v>
      </c>
    </row>
    <row r="120" spans="1:11" ht="12.75" customHeight="1" x14ac:dyDescent="0.2">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
      <c r="A121" s="574" t="s">
        <v>1301</v>
      </c>
      <c r="B121" s="169"/>
      <c r="C121" s="748"/>
      <c r="D121" s="753"/>
      <c r="E121" s="733"/>
      <c r="F121" s="733"/>
      <c r="G121" s="733"/>
      <c r="H121" s="733"/>
      <c r="I121" s="44">
        <f t="shared" si="21"/>
        <v>0</v>
      </c>
      <c r="J121" s="124" t="str">
        <f t="shared" si="30"/>
        <v/>
      </c>
      <c r="K121" s="735"/>
    </row>
    <row r="122" spans="1:11" ht="12.75" customHeight="1" x14ac:dyDescent="0.2">
      <c r="A122" s="574" t="s">
        <v>1302</v>
      </c>
      <c r="B122" s="169"/>
      <c r="C122" s="748"/>
      <c r="D122" s="753"/>
      <c r="E122" s="733"/>
      <c r="F122" s="733"/>
      <c r="G122" s="733"/>
      <c r="H122" s="733"/>
      <c r="I122" s="44">
        <f t="shared" si="21"/>
        <v>0</v>
      </c>
      <c r="J122" s="124" t="str">
        <f t="shared" si="30"/>
        <v/>
      </c>
      <c r="K122" s="735"/>
    </row>
    <row r="123" spans="1:11" ht="12.75" customHeight="1" x14ac:dyDescent="0.2">
      <c r="A123" s="574" t="s">
        <v>1303</v>
      </c>
      <c r="B123" s="169"/>
      <c r="C123" s="748"/>
      <c r="D123" s="753"/>
      <c r="E123" s="733"/>
      <c r="F123" s="733"/>
      <c r="G123" s="733"/>
      <c r="H123" s="733"/>
      <c r="I123" s="44">
        <f t="shared" si="21"/>
        <v>0</v>
      </c>
      <c r="J123" s="124" t="str">
        <f t="shared" si="30"/>
        <v/>
      </c>
      <c r="K123" s="735"/>
    </row>
    <row r="124" spans="1:11" ht="12.75" customHeight="1" x14ac:dyDescent="0.2">
      <c r="A124" s="574" t="s">
        <v>1304</v>
      </c>
      <c r="B124" s="169"/>
      <c r="C124" s="748"/>
      <c r="D124" s="753"/>
      <c r="E124" s="733"/>
      <c r="F124" s="733"/>
      <c r="G124" s="733"/>
      <c r="H124" s="733"/>
      <c r="I124" s="44">
        <f t="shared" si="21"/>
        <v>0</v>
      </c>
      <c r="J124" s="124" t="str">
        <f t="shared" si="30"/>
        <v/>
      </c>
      <c r="K124" s="735"/>
    </row>
    <row r="125" spans="1:11" ht="12.75" customHeight="1" x14ac:dyDescent="0.2">
      <c r="A125" s="574" t="s">
        <v>1305</v>
      </c>
      <c r="B125" s="169"/>
      <c r="C125" s="748"/>
      <c r="D125" s="753"/>
      <c r="E125" s="733"/>
      <c r="F125" s="733"/>
      <c r="G125" s="733"/>
      <c r="H125" s="733"/>
      <c r="I125" s="44">
        <f t="shared" si="21"/>
        <v>0</v>
      </c>
      <c r="J125" s="124" t="str">
        <f t="shared" si="30"/>
        <v/>
      </c>
      <c r="K125" s="735"/>
    </row>
    <row r="126" spans="1:11" ht="12.75" customHeight="1" x14ac:dyDescent="0.2">
      <c r="A126" s="574" t="s">
        <v>1306</v>
      </c>
      <c r="B126" s="169"/>
      <c r="C126" s="748"/>
      <c r="D126" s="753"/>
      <c r="E126" s="733"/>
      <c r="F126" s="733"/>
      <c r="G126" s="733"/>
      <c r="H126" s="733"/>
      <c r="I126" s="44">
        <f t="shared" si="21"/>
        <v>0</v>
      </c>
      <c r="J126" s="124" t="str">
        <f t="shared" si="30"/>
        <v/>
      </c>
      <c r="K126" s="735"/>
    </row>
    <row r="127" spans="1:11" ht="12.75" customHeight="1" x14ac:dyDescent="0.2">
      <c r="A127" s="574" t="s">
        <v>1307</v>
      </c>
      <c r="B127" s="169"/>
      <c r="C127" s="748"/>
      <c r="D127" s="753"/>
      <c r="E127" s="733"/>
      <c r="F127" s="733"/>
      <c r="G127" s="733"/>
      <c r="H127" s="733"/>
      <c r="I127" s="44">
        <f t="shared" si="21"/>
        <v>0</v>
      </c>
      <c r="J127" s="124" t="str">
        <f t="shared" si="30"/>
        <v/>
      </c>
      <c r="K127" s="735"/>
    </row>
    <row r="128" spans="1:11" ht="12.75" customHeight="1" x14ac:dyDescent="0.2">
      <c r="A128" s="574" t="s">
        <v>1308</v>
      </c>
      <c r="B128" s="169"/>
      <c r="C128" s="748"/>
      <c r="D128" s="753"/>
      <c r="E128" s="733"/>
      <c r="F128" s="733"/>
      <c r="G128" s="733"/>
      <c r="H128" s="733"/>
      <c r="I128" s="44">
        <f t="shared" si="21"/>
        <v>0</v>
      </c>
      <c r="J128" s="124" t="str">
        <f t="shared" si="30"/>
        <v/>
      </c>
      <c r="K128" s="735"/>
    </row>
    <row r="129" spans="1:11" ht="12.75" customHeight="1" x14ac:dyDescent="0.2">
      <c r="A129" s="574" t="s">
        <v>1219</v>
      </c>
      <c r="B129" s="169"/>
      <c r="C129" s="748"/>
      <c r="D129" s="753"/>
      <c r="E129" s="733"/>
      <c r="F129" s="733"/>
      <c r="G129" s="733"/>
      <c r="H129" s="733"/>
      <c r="I129" s="44">
        <f t="shared" si="21"/>
        <v>0</v>
      </c>
      <c r="J129" s="124" t="str">
        <f t="shared" si="30"/>
        <v/>
      </c>
      <c r="K129" s="735"/>
    </row>
    <row r="130" spans="1:11" ht="12.75" customHeight="1" x14ac:dyDescent="0.2">
      <c r="A130" s="518" t="s">
        <v>711</v>
      </c>
      <c r="B130" s="169"/>
      <c r="C130" s="648">
        <f t="shared" ref="C130:H130" si="31">SUM(C131:C133)</f>
        <v>0</v>
      </c>
      <c r="D130" s="649">
        <f t="shared" si="31"/>
        <v>0</v>
      </c>
      <c r="E130" s="408">
        <f t="shared" si="31"/>
        <v>0</v>
      </c>
      <c r="F130" s="408">
        <f t="shared" si="31"/>
        <v>11857888.949999999</v>
      </c>
      <c r="G130" s="408">
        <f t="shared" si="31"/>
        <v>11857888.949999999</v>
      </c>
      <c r="H130" s="408">
        <f t="shared" si="31"/>
        <v>0</v>
      </c>
      <c r="I130" s="258">
        <f t="shared" si="21"/>
        <v>-11857888.949999999</v>
      </c>
      <c r="J130" s="575" t="e">
        <f t="shared" si="30"/>
        <v>#DIV/0!</v>
      </c>
      <c r="K130" s="642">
        <f>SUM(K131:K133)</f>
        <v>0</v>
      </c>
    </row>
    <row r="131" spans="1:11" ht="12.75" customHeight="1" x14ac:dyDescent="0.2">
      <c r="A131" s="574" t="s">
        <v>1309</v>
      </c>
      <c r="B131" s="169"/>
      <c r="C131" s="748"/>
      <c r="D131" s="753"/>
      <c r="E131" s="733"/>
      <c r="F131" s="733"/>
      <c r="G131" s="733"/>
      <c r="H131" s="733"/>
      <c r="I131" s="44">
        <f t="shared" si="21"/>
        <v>0</v>
      </c>
      <c r="J131" s="124" t="str">
        <f t="shared" si="30"/>
        <v/>
      </c>
      <c r="K131" s="735"/>
    </row>
    <row r="132" spans="1:11" ht="12.75" customHeight="1" x14ac:dyDescent="0.2">
      <c r="A132" s="574" t="s">
        <v>1310</v>
      </c>
      <c r="B132" s="169"/>
      <c r="C132" s="748"/>
      <c r="D132" s="753"/>
      <c r="E132" s="733"/>
      <c r="F132" s="733">
        <v>11857888.949999999</v>
      </c>
      <c r="G132" s="733">
        <v>11857888.949999999</v>
      </c>
      <c r="H132" s="733"/>
      <c r="I132" s="44">
        <f t="shared" si="21"/>
        <v>-11857888.949999999</v>
      </c>
      <c r="J132" s="124" t="e">
        <f t="shared" si="30"/>
        <v>#DIV/0!</v>
      </c>
      <c r="K132" s="735"/>
    </row>
    <row r="133" spans="1:11" ht="12.75" customHeight="1" x14ac:dyDescent="0.2">
      <c r="A133" s="574" t="s">
        <v>1219</v>
      </c>
      <c r="B133" s="169"/>
      <c r="C133" s="748"/>
      <c r="D133" s="753"/>
      <c r="E133" s="733"/>
      <c r="F133" s="733"/>
      <c r="G133" s="733"/>
      <c r="H133" s="733"/>
      <c r="I133" s="44">
        <f t="shared" si="21"/>
        <v>0</v>
      </c>
      <c r="J133" s="124" t="str">
        <f t="shared" si="30"/>
        <v/>
      </c>
      <c r="K133" s="735"/>
    </row>
    <row r="134" spans="1:11" ht="5.0999999999999996" customHeight="1" x14ac:dyDescent="0.2">
      <c r="A134" s="39"/>
      <c r="B134" s="169"/>
      <c r="C134" s="134"/>
      <c r="D134" s="258"/>
      <c r="E134" s="44"/>
      <c r="F134" s="44"/>
      <c r="G134" s="44"/>
      <c r="H134" s="44"/>
      <c r="I134" s="44"/>
      <c r="J134" s="124" t="str">
        <f t="shared" si="30"/>
        <v/>
      </c>
      <c r="K134" s="144"/>
    </row>
    <row r="135" spans="1:11" ht="12.75" customHeight="1" x14ac:dyDescent="0.2">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
      <c r="A136" s="518" t="s">
        <v>1311</v>
      </c>
      <c r="B136" s="169"/>
      <c r="C136" s="748"/>
      <c r="D136" s="753"/>
      <c r="E136" s="733"/>
      <c r="F136" s="733"/>
      <c r="G136" s="733"/>
      <c r="H136" s="733"/>
      <c r="I136" s="44">
        <f>H136-G136</f>
        <v>0</v>
      </c>
      <c r="J136" s="124" t="str">
        <f t="shared" si="30"/>
        <v/>
      </c>
      <c r="K136" s="735"/>
    </row>
    <row r="137" spans="1:11" ht="5.0999999999999996" customHeight="1" x14ac:dyDescent="0.2">
      <c r="A137" s="548"/>
      <c r="B137" s="169"/>
      <c r="C137" s="134"/>
      <c r="D137" s="258"/>
      <c r="E137" s="44"/>
      <c r="F137" s="44"/>
      <c r="G137" s="44"/>
      <c r="H137" s="44"/>
      <c r="I137" s="44"/>
      <c r="J137" s="124" t="str">
        <f t="shared" si="30"/>
        <v/>
      </c>
      <c r="K137" s="144"/>
    </row>
    <row r="138" spans="1:11" s="100" customFormat="1" ht="12.75" customHeight="1" x14ac:dyDescent="0.2">
      <c r="A138" s="549" t="s">
        <v>1312</v>
      </c>
      <c r="B138" s="171"/>
      <c r="C138" s="940">
        <f t="shared" ref="C138:H138" si="33">SUM(C139:C140)</f>
        <v>0</v>
      </c>
      <c r="D138" s="941">
        <f t="shared" si="33"/>
        <v>46237276.472306006</v>
      </c>
      <c r="E138" s="942">
        <f t="shared" si="33"/>
        <v>0</v>
      </c>
      <c r="F138" s="942">
        <f t="shared" si="33"/>
        <v>0</v>
      </c>
      <c r="G138" s="942">
        <f t="shared" si="33"/>
        <v>0</v>
      </c>
      <c r="H138" s="942">
        <f t="shared" si="33"/>
        <v>11559319.118076501</v>
      </c>
      <c r="I138" s="942">
        <f t="shared" ref="I138:I146" si="34">H138-G138</f>
        <v>11559319.118076501</v>
      </c>
      <c r="J138" s="324">
        <f t="shared" si="30"/>
        <v>1</v>
      </c>
      <c r="K138" s="943">
        <f>SUM(K139:K140)</f>
        <v>46237276.472306006</v>
      </c>
    </row>
    <row r="139" spans="1:11" ht="12.75" customHeight="1" x14ac:dyDescent="0.2">
      <c r="A139" s="517" t="s">
        <v>1313</v>
      </c>
      <c r="B139" s="169"/>
      <c r="C139" s="748"/>
      <c r="D139" s="753"/>
      <c r="E139" s="733"/>
      <c r="F139" s="733"/>
      <c r="G139" s="733"/>
      <c r="H139" s="733"/>
      <c r="I139" s="44">
        <f t="shared" si="34"/>
        <v>0</v>
      </c>
      <c r="J139" s="124" t="str">
        <f t="shared" si="30"/>
        <v/>
      </c>
      <c r="K139" s="735"/>
    </row>
    <row r="140" spans="1:11" ht="12.75" customHeight="1" x14ac:dyDescent="0.2">
      <c r="A140" s="517" t="s">
        <v>1314</v>
      </c>
      <c r="B140" s="169"/>
      <c r="C140" s="648">
        <f t="shared" ref="C140:H140" si="35">SUM(C141:C146)</f>
        <v>0</v>
      </c>
      <c r="D140" s="649">
        <f t="shared" si="35"/>
        <v>46237276.472306006</v>
      </c>
      <c r="E140" s="408">
        <f t="shared" si="35"/>
        <v>0</v>
      </c>
      <c r="F140" s="408">
        <f t="shared" si="35"/>
        <v>0</v>
      </c>
      <c r="G140" s="408">
        <f t="shared" si="35"/>
        <v>0</v>
      </c>
      <c r="H140" s="408">
        <f t="shared" si="35"/>
        <v>11559319.118076501</v>
      </c>
      <c r="I140" s="258">
        <f t="shared" si="34"/>
        <v>11559319.118076501</v>
      </c>
      <c r="J140" s="575">
        <f t="shared" si="30"/>
        <v>1</v>
      </c>
      <c r="K140" s="642">
        <f>SUM(K141:K146)</f>
        <v>46237276.472306006</v>
      </c>
    </row>
    <row r="141" spans="1:11" ht="12.75" customHeight="1" x14ac:dyDescent="0.2">
      <c r="A141" s="574" t="s">
        <v>1315</v>
      </c>
      <c r="B141" s="169"/>
      <c r="C141" s="748"/>
      <c r="D141" s="753"/>
      <c r="E141" s="733"/>
      <c r="F141" s="733"/>
      <c r="G141" s="733"/>
      <c r="H141" s="733"/>
      <c r="I141" s="44">
        <f t="shared" si="34"/>
        <v>0</v>
      </c>
      <c r="J141" s="124" t="str">
        <f t="shared" si="30"/>
        <v/>
      </c>
      <c r="K141" s="735">
        <v>0</v>
      </c>
    </row>
    <row r="142" spans="1:11" ht="12.75" customHeight="1" x14ac:dyDescent="0.2">
      <c r="A142" s="574" t="s">
        <v>1316</v>
      </c>
      <c r="B142" s="169"/>
      <c r="C142" s="748"/>
      <c r="D142" s="753"/>
      <c r="E142" s="733"/>
      <c r="F142" s="733"/>
      <c r="G142" s="733"/>
      <c r="H142" s="733"/>
      <c r="I142" s="44">
        <f t="shared" si="34"/>
        <v>0</v>
      </c>
      <c r="J142" s="124" t="str">
        <f t="shared" si="30"/>
        <v/>
      </c>
      <c r="K142" s="735">
        <v>0</v>
      </c>
    </row>
    <row r="143" spans="1:11" ht="12.75" customHeight="1" x14ac:dyDescent="0.2">
      <c r="A143" s="574" t="s">
        <v>1317</v>
      </c>
      <c r="B143" s="169"/>
      <c r="C143" s="748"/>
      <c r="D143" s="753"/>
      <c r="E143" s="733"/>
      <c r="F143" s="733"/>
      <c r="G143" s="733"/>
      <c r="H143" s="733"/>
      <c r="I143" s="44">
        <f t="shared" si="34"/>
        <v>0</v>
      </c>
      <c r="J143" s="124" t="str">
        <f t="shared" si="30"/>
        <v/>
      </c>
      <c r="K143" s="735">
        <v>0</v>
      </c>
    </row>
    <row r="144" spans="1:11" ht="12.75" customHeight="1" x14ac:dyDescent="0.2">
      <c r="A144" s="574" t="s">
        <v>1318</v>
      </c>
      <c r="B144" s="169"/>
      <c r="C144" s="748"/>
      <c r="D144" s="753">
        <v>46237276.472306006</v>
      </c>
      <c r="E144" s="733"/>
      <c r="F144" s="733"/>
      <c r="G144" s="733"/>
      <c r="H144" s="733">
        <f>D144/12*3</f>
        <v>11559319.118076501</v>
      </c>
      <c r="I144" s="44">
        <f t="shared" si="34"/>
        <v>11559319.118076501</v>
      </c>
      <c r="J144" s="124">
        <f t="shared" si="30"/>
        <v>1</v>
      </c>
      <c r="K144" s="735">
        <f>D144</f>
        <v>46237276.472306006</v>
      </c>
    </row>
    <row r="145" spans="1:12" ht="12.75" customHeight="1" x14ac:dyDescent="0.2">
      <c r="A145" s="574" t="s">
        <v>1319</v>
      </c>
      <c r="B145" s="169"/>
      <c r="C145" s="748"/>
      <c r="D145" s="753"/>
      <c r="E145" s="733"/>
      <c r="F145" s="733"/>
      <c r="G145" s="733"/>
      <c r="H145" s="733"/>
      <c r="I145" s="44">
        <f t="shared" si="34"/>
        <v>0</v>
      </c>
      <c r="J145" s="124" t="str">
        <f t="shared" si="30"/>
        <v/>
      </c>
      <c r="K145" s="735">
        <v>0</v>
      </c>
    </row>
    <row r="146" spans="1:12" ht="12.75" customHeight="1" x14ac:dyDescent="0.2">
      <c r="A146" s="574" t="s">
        <v>1320</v>
      </c>
      <c r="B146" s="169"/>
      <c r="C146" s="748"/>
      <c r="D146" s="753"/>
      <c r="E146" s="733"/>
      <c r="F146" s="733"/>
      <c r="G146" s="733"/>
      <c r="H146" s="733"/>
      <c r="I146" s="44">
        <f t="shared" si="34"/>
        <v>0</v>
      </c>
      <c r="J146" s="124" t="str">
        <f t="shared" si="30"/>
        <v/>
      </c>
      <c r="K146" s="735">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36">SUM(C149:C149)</f>
        <v>0</v>
      </c>
      <c r="D148" s="577">
        <f t="shared" si="36"/>
        <v>30489488.019469682</v>
      </c>
      <c r="E148" s="578">
        <f t="shared" si="36"/>
        <v>0</v>
      </c>
      <c r="F148" s="578">
        <f t="shared" si="36"/>
        <v>2629706.5299999998</v>
      </c>
      <c r="G148" s="578">
        <f t="shared" si="36"/>
        <v>2629706.5299999998</v>
      </c>
      <c r="H148" s="578">
        <f t="shared" si="36"/>
        <v>7622372.0048674215</v>
      </c>
      <c r="I148" s="578">
        <f>H148-G148</f>
        <v>4992665.4748674221</v>
      </c>
      <c r="J148" s="324">
        <f>IF(I148=0,"",I148/H148)</f>
        <v>0.65500154960676982</v>
      </c>
      <c r="K148" s="580">
        <f>SUM(K149)</f>
        <v>30489488.019469682</v>
      </c>
    </row>
    <row r="149" spans="1:12" ht="12.75" customHeight="1" x14ac:dyDescent="0.2">
      <c r="A149" s="518" t="s">
        <v>1321</v>
      </c>
      <c r="B149" s="169"/>
      <c r="C149" s="748"/>
      <c r="D149" s="753">
        <v>30489488.019469682</v>
      </c>
      <c r="E149" s="733"/>
      <c r="F149" s="733">
        <v>2629706.5299999998</v>
      </c>
      <c r="G149" s="733">
        <v>2629706.5299999998</v>
      </c>
      <c r="H149" s="733">
        <f>D149/12*3</f>
        <v>7622372.0048674215</v>
      </c>
      <c r="I149" s="44">
        <f>H149-G149</f>
        <v>4992665.4748674221</v>
      </c>
      <c r="J149" s="124">
        <f>IF(I149=0,"",I149/H149)</f>
        <v>0.65500154960676982</v>
      </c>
      <c r="K149" s="735">
        <f>D149</f>
        <v>30489488.019469682</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37">SUM(C152:C152)</f>
        <v>0</v>
      </c>
      <c r="D151" s="577">
        <f t="shared" si="37"/>
        <v>26221102.404387362</v>
      </c>
      <c r="E151" s="578">
        <f t="shared" si="37"/>
        <v>0</v>
      </c>
      <c r="F151" s="578">
        <f t="shared" si="37"/>
        <v>0</v>
      </c>
      <c r="G151" s="578">
        <f t="shared" si="37"/>
        <v>0</v>
      </c>
      <c r="H151" s="578">
        <f t="shared" si="37"/>
        <v>6555275.6010968406</v>
      </c>
      <c r="I151" s="578">
        <f>H151-G151</f>
        <v>6555275.6010968406</v>
      </c>
      <c r="J151" s="324">
        <f>IF(I151=0,"",I151/H151)</f>
        <v>1</v>
      </c>
      <c r="K151" s="580">
        <f>SUM(K152)</f>
        <v>26221102.404387362</v>
      </c>
    </row>
    <row r="152" spans="1:12" ht="12.75" customHeight="1" x14ac:dyDescent="0.2">
      <c r="A152" s="518" t="s">
        <v>1322</v>
      </c>
      <c r="B152" s="169"/>
      <c r="C152" s="748"/>
      <c r="D152" s="753">
        <v>26221102.404387362</v>
      </c>
      <c r="E152" s="733"/>
      <c r="F152" s="733"/>
      <c r="G152" s="733"/>
      <c r="H152" s="733">
        <f>D152/12*3</f>
        <v>6555275.6010968406</v>
      </c>
      <c r="I152" s="44">
        <f>H152-G152</f>
        <v>6555275.6010968406</v>
      </c>
      <c r="J152" s="124">
        <f>IF(I152=0,"",I152/H152)</f>
        <v>1</v>
      </c>
      <c r="K152" s="735">
        <f>D152</f>
        <v>26221102.404387362</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38">SUM(C155:C155)</f>
        <v>0</v>
      </c>
      <c r="D154" s="577">
        <f t="shared" si="38"/>
        <v>34478166.653423235</v>
      </c>
      <c r="E154" s="578">
        <f t="shared" si="38"/>
        <v>0</v>
      </c>
      <c r="F154" s="578">
        <f t="shared" si="38"/>
        <v>0</v>
      </c>
      <c r="G154" s="578">
        <f t="shared" si="38"/>
        <v>1135593.6800000072</v>
      </c>
      <c r="H154" s="578">
        <f t="shared" si="38"/>
        <v>8619541.6633558087</v>
      </c>
      <c r="I154" s="578">
        <f>H154-G154</f>
        <v>7483947.9833558016</v>
      </c>
      <c r="J154" s="324">
        <f>IF(I154=0,"",I154/H154)</f>
        <v>0.86825358883898107</v>
      </c>
      <c r="K154" s="580">
        <f>SUM(K155)</f>
        <v>34478166.653423235</v>
      </c>
    </row>
    <row r="155" spans="1:12" ht="12.75" customHeight="1" x14ac:dyDescent="0.2">
      <c r="A155" s="518" t="s">
        <v>1323</v>
      </c>
      <c r="B155" s="169"/>
      <c r="C155" s="748"/>
      <c r="D155" s="753">
        <v>34478166.653423235</v>
      </c>
      <c r="E155" s="733"/>
      <c r="F155" s="733"/>
      <c r="G155" s="733">
        <v>1135593.6800000072</v>
      </c>
      <c r="H155" s="733">
        <f>D155/12*3</f>
        <v>8619541.6633558087</v>
      </c>
      <c r="I155" s="44">
        <f>H155-G155</f>
        <v>7483947.9833558016</v>
      </c>
      <c r="J155" s="124">
        <f>IF(I155=0,"",I155/H155)</f>
        <v>0.86825358883898107</v>
      </c>
      <c r="K155" s="735">
        <f>D155</f>
        <v>34478166.653423235</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9">SUM(C158:C158)</f>
        <v>0</v>
      </c>
      <c r="D157" s="577">
        <f t="shared" si="39"/>
        <v>0</v>
      </c>
      <c r="E157" s="578">
        <f t="shared" si="39"/>
        <v>0</v>
      </c>
      <c r="F157" s="578">
        <f t="shared" si="39"/>
        <v>0</v>
      </c>
      <c r="G157" s="578">
        <f t="shared" si="39"/>
        <v>0</v>
      </c>
      <c r="H157" s="578">
        <f t="shared" si="39"/>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40">SUM(C161:C161)</f>
        <v>0</v>
      </c>
      <c r="D160" s="577">
        <f t="shared" si="40"/>
        <v>48520598.76723469</v>
      </c>
      <c r="E160" s="578">
        <f t="shared" si="40"/>
        <v>0</v>
      </c>
      <c r="F160" s="578">
        <f t="shared" si="40"/>
        <v>0</v>
      </c>
      <c r="G160" s="578">
        <f t="shared" si="40"/>
        <v>0</v>
      </c>
      <c r="H160" s="578">
        <f t="shared" si="40"/>
        <v>12130149.691808673</v>
      </c>
      <c r="I160" s="578">
        <f>H160-G160</f>
        <v>12130149.691808673</v>
      </c>
      <c r="J160" s="324">
        <f>IF(I160=0,"",I160/H160)</f>
        <v>1</v>
      </c>
      <c r="K160" s="580">
        <f>SUM(K161)</f>
        <v>48520598.76723469</v>
      </c>
    </row>
    <row r="161" spans="1:11" ht="12.75" customHeight="1" x14ac:dyDescent="0.2">
      <c r="A161" s="518" t="s">
        <v>1335</v>
      </c>
      <c r="B161" s="169"/>
      <c r="C161" s="748"/>
      <c r="D161" s="753">
        <v>48520598.76723469</v>
      </c>
      <c r="E161" s="733"/>
      <c r="F161" s="733"/>
      <c r="G161" s="733"/>
      <c r="H161" s="733">
        <f>D161/12*3</f>
        <v>12130149.691808673</v>
      </c>
      <c r="I161" s="44">
        <f>H161-G161</f>
        <v>12130149.691808673</v>
      </c>
      <c r="J161" s="124">
        <f>IF(I161=0,"",I161/H161)</f>
        <v>1</v>
      </c>
      <c r="K161" s="735">
        <f>D161</f>
        <v>48520598.76723469</v>
      </c>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880</v>
      </c>
      <c r="B166" s="236">
        <v>1</v>
      </c>
      <c r="C166" s="112">
        <f t="shared" ref="C166:H166" si="42">C7+C75+C103+C110+C117+C135+C138+C148+C151+C154+C157+C160+C163</f>
        <v>0</v>
      </c>
      <c r="D166" s="271">
        <f t="shared" si="42"/>
        <v>456241581</v>
      </c>
      <c r="E166" s="55">
        <f t="shared" si="42"/>
        <v>0</v>
      </c>
      <c r="F166" s="55">
        <f t="shared" si="42"/>
        <v>23414416.630000003</v>
      </c>
      <c r="G166" s="55">
        <f t="shared" si="42"/>
        <v>24834100.590000007</v>
      </c>
      <c r="H166" s="55">
        <f t="shared" si="42"/>
        <v>114060395.25</v>
      </c>
      <c r="I166" s="55">
        <f>H166-G166</f>
        <v>89226294.659999996</v>
      </c>
      <c r="J166" s="290">
        <f>IF(I166=0,"",I166/H166)</f>
        <v>0.78227236074740847</v>
      </c>
      <c r="K166" s="235">
        <f>K7+K75+K103+K110+K117+K135+K138+K148+K151+K154+K157+K160+K163</f>
        <v>456241581</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1329</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7" activePane="bottomRight" state="frozen"/>
      <selection pane="topRight"/>
      <selection pane="bottomLeft"/>
      <selection pane="bottomRight" activeCell="G21" sqref="G21"/>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"&amp;S71Sb&amp; " - "&amp;Head57</f>
        <v>KZN225 Msunduzi - Supporting Table SC13b Consolidated Monthly Budget Statement - capital expenditure on renewal of existing assets by asset class - Q1 First Quarter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882</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7471008.3710928503</v>
      </c>
      <c r="E7" s="102">
        <f t="shared" si="0"/>
        <v>0</v>
      </c>
      <c r="F7" s="102">
        <f t="shared" si="0"/>
        <v>13501964.6</v>
      </c>
      <c r="G7" s="102">
        <f t="shared" si="0"/>
        <v>13501964.6</v>
      </c>
      <c r="H7" s="102">
        <f t="shared" si="0"/>
        <v>1867752.0927732126</v>
      </c>
      <c r="I7" s="101">
        <f t="shared" ref="I7:I133" si="1">H7-G7</f>
        <v>-11634212.507226788</v>
      </c>
      <c r="J7" s="579">
        <f t="shared" ref="J7:J136" si="2">IF(I7=0,"",I7/H7)</f>
        <v>-6.2289918197615126</v>
      </c>
      <c r="K7" s="603">
        <f>K8+K13+K17+K27+K38+K45+K53+K63+K69</f>
        <v>7471008.3710928503</v>
      </c>
    </row>
    <row r="8" spans="1:11" ht="12.75" customHeight="1" x14ac:dyDescent="0.2">
      <c r="A8" s="518" t="s">
        <v>1216</v>
      </c>
      <c r="B8" s="169"/>
      <c r="C8" s="677">
        <f t="shared" ref="C8:H8" si="3">SUM(C9:C12)</f>
        <v>0</v>
      </c>
      <c r="D8" s="609">
        <f t="shared" si="3"/>
        <v>5914548.2937818393</v>
      </c>
      <c r="E8" s="608">
        <f t="shared" si="3"/>
        <v>0</v>
      </c>
      <c r="F8" s="608">
        <f t="shared" si="3"/>
        <v>13501964.6</v>
      </c>
      <c r="G8" s="608">
        <f t="shared" si="3"/>
        <v>13501964.6</v>
      </c>
      <c r="H8" s="608">
        <f t="shared" si="3"/>
        <v>1478637.0734454598</v>
      </c>
      <c r="I8" s="258">
        <f t="shared" si="1"/>
        <v>-12023327.52655454</v>
      </c>
      <c r="J8" s="575">
        <f t="shared" si="2"/>
        <v>-8.1313580881198071</v>
      </c>
      <c r="K8" s="610">
        <f>SUM(K9:K12)</f>
        <v>5914548.2937818393</v>
      </c>
    </row>
    <row r="9" spans="1:11" ht="12.75" customHeight="1" x14ac:dyDescent="0.2">
      <c r="A9" s="574" t="s">
        <v>168</v>
      </c>
      <c r="B9" s="169"/>
      <c r="C9" s="748"/>
      <c r="D9" s="745">
        <v>5914548.2937818393</v>
      </c>
      <c r="E9" s="733"/>
      <c r="F9" s="733">
        <v>13501964.6</v>
      </c>
      <c r="G9" s="733">
        <v>13501964.6</v>
      </c>
      <c r="H9" s="733">
        <f>D9/12*3</f>
        <v>1478637.0734454598</v>
      </c>
      <c r="I9" s="258">
        <f t="shared" si="1"/>
        <v>-12023327.52655454</v>
      </c>
      <c r="J9" s="575">
        <f t="shared" si="2"/>
        <v>-8.1313580881198071</v>
      </c>
      <c r="K9" s="735">
        <f>D9</f>
        <v>5914548.2937818393</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
      <c r="A18" s="574" t="s">
        <v>1225</v>
      </c>
      <c r="B18" s="169"/>
      <c r="C18" s="748"/>
      <c r="D18" s="745"/>
      <c r="E18" s="733"/>
      <c r="F18" s="733"/>
      <c r="G18" s="733"/>
      <c r="H18" s="733"/>
      <c r="I18" s="258">
        <f t="shared" si="1"/>
        <v>0</v>
      </c>
      <c r="J18" s="575" t="str">
        <f t="shared" si="2"/>
        <v/>
      </c>
      <c r="K18" s="735"/>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c r="H34" s="733"/>
      <c r="I34" s="258">
        <f t="shared" si="1"/>
        <v>0</v>
      </c>
      <c r="J34" s="575" t="str">
        <f t="shared" si="2"/>
        <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c r="G40" s="733"/>
      <c r="H40" s="733"/>
      <c r="I40" s="258">
        <f t="shared" si="1"/>
        <v>0</v>
      </c>
      <c r="J40" s="575" t="str">
        <f t="shared" si="2"/>
        <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1556460.0773110106</v>
      </c>
      <c r="E45" s="408">
        <f t="shared" si="8"/>
        <v>0</v>
      </c>
      <c r="F45" s="408">
        <f t="shared" si="8"/>
        <v>0</v>
      </c>
      <c r="G45" s="408">
        <f t="shared" si="8"/>
        <v>0</v>
      </c>
      <c r="H45" s="408">
        <f t="shared" si="8"/>
        <v>389115.01932775264</v>
      </c>
      <c r="I45" s="258">
        <f t="shared" si="1"/>
        <v>389115.01932775264</v>
      </c>
      <c r="J45" s="575">
        <f t="shared" si="2"/>
        <v>1</v>
      </c>
      <c r="K45" s="642">
        <f>SUM(K46:K52)</f>
        <v>1556460.0773110106</v>
      </c>
    </row>
    <row r="46" spans="1:11" ht="12.75" customHeight="1" x14ac:dyDescent="0.2">
      <c r="A46" s="574" t="s">
        <v>1249</v>
      </c>
      <c r="B46" s="169"/>
      <c r="C46" s="748"/>
      <c r="D46" s="745">
        <v>1556460.0773110106</v>
      </c>
      <c r="E46" s="733"/>
      <c r="F46" s="733"/>
      <c r="G46" s="733"/>
      <c r="H46" s="733">
        <f>D46/12*3</f>
        <v>389115.01932775264</v>
      </c>
      <c r="I46" s="258">
        <f t="shared" si="1"/>
        <v>389115.01932775264</v>
      </c>
      <c r="J46" s="575">
        <f t="shared" si="2"/>
        <v>1</v>
      </c>
      <c r="K46" s="735">
        <f>D46</f>
        <v>1556460.0773110106</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
      <c r="A77" s="574" t="s">
        <v>1269</v>
      </c>
      <c r="B77" s="169"/>
      <c r="C77" s="748"/>
      <c r="D77" s="753"/>
      <c r="E77" s="733"/>
      <c r="F77" s="733"/>
      <c r="G77" s="733"/>
      <c r="H77" s="733"/>
      <c r="I77" s="44">
        <f t="shared" si="1"/>
        <v>0</v>
      </c>
      <c r="J77" s="124" t="str">
        <f t="shared" si="2"/>
        <v/>
      </c>
      <c r="K77" s="735"/>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c r="E80" s="733"/>
      <c r="F80" s="733"/>
      <c r="G80" s="733"/>
      <c r="H80" s="733"/>
      <c r="I80" s="44">
        <f t="shared" si="1"/>
        <v>0</v>
      </c>
      <c r="J80" s="124" t="str">
        <f t="shared" si="2"/>
        <v/>
      </c>
      <c r="K80" s="735"/>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c r="E86" s="733"/>
      <c r="F86" s="733"/>
      <c r="G86" s="733"/>
      <c r="H86" s="733"/>
      <c r="I86" s="44">
        <f t="shared" si="1"/>
        <v>0</v>
      </c>
      <c r="J86" s="124" t="str">
        <f t="shared" si="2"/>
        <v/>
      </c>
      <c r="K86" s="735"/>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c r="E90" s="733"/>
      <c r="F90" s="733"/>
      <c r="G90" s="733"/>
      <c r="H90" s="733"/>
      <c r="I90" s="44">
        <f t="shared" si="1"/>
        <v>0</v>
      </c>
      <c r="J90" s="124" t="str">
        <f t="shared" si="2"/>
        <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c r="E93" s="733"/>
      <c r="F93" s="733"/>
      <c r="G93" s="733"/>
      <c r="H93" s="733"/>
      <c r="I93" s="44">
        <f t="shared" si="1"/>
        <v>0</v>
      </c>
      <c r="J93" s="124" t="str">
        <f t="shared" si="2"/>
        <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
      <c r="A119" s="574" t="s">
        <v>1299</v>
      </c>
      <c r="B119" s="169"/>
      <c r="C119" s="748"/>
      <c r="D119" s="753"/>
      <c r="E119" s="733"/>
      <c r="F119" s="733"/>
      <c r="G119" s="733"/>
      <c r="H119" s="733"/>
      <c r="I119" s="44">
        <f t="shared" si="1"/>
        <v>0</v>
      </c>
      <c r="J119" s="124" t="str">
        <f t="shared" si="2"/>
        <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c r="H144" s="733"/>
      <c r="I144" s="44">
        <f t="shared" si="25"/>
        <v>0</v>
      </c>
      <c r="J144" s="124" t="str">
        <f t="shared" si="23"/>
        <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
      <c r="A149" s="518" t="s">
        <v>1321</v>
      </c>
      <c r="B149" s="169"/>
      <c r="C149" s="748"/>
      <c r="D149" s="753"/>
      <c r="E149" s="733"/>
      <c r="F149" s="733"/>
      <c r="G149" s="733"/>
      <c r="H149" s="733"/>
      <c r="I149" s="44">
        <f>H149-G149</f>
        <v>0</v>
      </c>
      <c r="J149" s="124" t="str">
        <f>IF(I149=0,"",I149/H149)</f>
        <v/>
      </c>
      <c r="K149" s="735"/>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389115.01932775264</v>
      </c>
      <c r="E151" s="578">
        <f t="shared" si="28"/>
        <v>0</v>
      </c>
      <c r="F151" s="578">
        <f t="shared" si="28"/>
        <v>0</v>
      </c>
      <c r="G151" s="578">
        <f t="shared" si="28"/>
        <v>0</v>
      </c>
      <c r="H151" s="578">
        <f t="shared" si="28"/>
        <v>97278.75483193816</v>
      </c>
      <c r="I151" s="578">
        <f>H151-G151</f>
        <v>97278.75483193816</v>
      </c>
      <c r="J151" s="324">
        <f>IF(I151=0,"",I151/H151)</f>
        <v>1</v>
      </c>
      <c r="K151" s="580">
        <f>SUM(K152)</f>
        <v>389115.01932775264</v>
      </c>
    </row>
    <row r="152" spans="1:12" ht="12.75" customHeight="1" x14ac:dyDescent="0.2">
      <c r="A152" s="518" t="s">
        <v>1322</v>
      </c>
      <c r="B152" s="169"/>
      <c r="C152" s="748"/>
      <c r="D152" s="753">
        <v>389115.01932775264</v>
      </c>
      <c r="E152" s="733"/>
      <c r="F152" s="733"/>
      <c r="G152" s="733"/>
      <c r="H152" s="733">
        <f>D152/12*3</f>
        <v>97278.75483193816</v>
      </c>
      <c r="I152" s="44">
        <f>H152-G152</f>
        <v>97278.75483193816</v>
      </c>
      <c r="J152" s="124">
        <f>IF(I152=0,"",I152/H152)</f>
        <v>1</v>
      </c>
      <c r="K152" s="735">
        <f>D152</f>
        <v>389115.01932775264</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7339876.6095793974</v>
      </c>
      <c r="E154" s="578">
        <f t="shared" si="29"/>
        <v>0</v>
      </c>
      <c r="F154" s="578">
        <f t="shared" si="29"/>
        <v>0</v>
      </c>
      <c r="G154" s="578">
        <f t="shared" si="29"/>
        <v>0</v>
      </c>
      <c r="H154" s="578">
        <f t="shared" si="29"/>
        <v>1834969.1523948493</v>
      </c>
      <c r="I154" s="578">
        <f>H154-G154</f>
        <v>1834969.1523948493</v>
      </c>
      <c r="J154" s="324">
        <f>IF(I154=0,"",I154/H154)</f>
        <v>1</v>
      </c>
      <c r="K154" s="580">
        <f>SUM(K155)</f>
        <v>7339876.6095793974</v>
      </c>
    </row>
    <row r="155" spans="1:12" ht="12.75" customHeight="1" x14ac:dyDescent="0.2">
      <c r="A155" s="518" t="s">
        <v>1323</v>
      </c>
      <c r="B155" s="169"/>
      <c r="C155" s="748"/>
      <c r="D155" s="753">
        <v>7339876.6095793974</v>
      </c>
      <c r="E155" s="733"/>
      <c r="F155" s="733"/>
      <c r="G155" s="733"/>
      <c r="H155" s="733">
        <f>D155/12*3</f>
        <v>1834969.1523948493</v>
      </c>
      <c r="I155" s="44">
        <f>H155-G155</f>
        <v>1834969.1523948493</v>
      </c>
      <c r="J155" s="124">
        <f>IF(I155=0,"",I155/H155)</f>
        <v>1</v>
      </c>
      <c r="K155" s="735">
        <f>D155</f>
        <v>7339876.6095793974</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t="s">
        <v>1326</v>
      </c>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881</v>
      </c>
      <c r="B166" s="236">
        <v>1</v>
      </c>
      <c r="C166" s="112">
        <f t="shared" ref="C166:H166" si="33">C7+C75+C103+C110+C117+C135+C138+C148+C151+C154+C157+C160+C163</f>
        <v>0</v>
      </c>
      <c r="D166" s="271">
        <f t="shared" si="33"/>
        <v>15200000</v>
      </c>
      <c r="E166" s="55">
        <f t="shared" si="33"/>
        <v>0</v>
      </c>
      <c r="F166" s="55">
        <f t="shared" si="33"/>
        <v>13501964.6</v>
      </c>
      <c r="G166" s="55">
        <f t="shared" si="33"/>
        <v>13501964.6</v>
      </c>
      <c r="H166" s="55">
        <f t="shared" si="33"/>
        <v>3800000</v>
      </c>
      <c r="I166" s="55">
        <f>H166-G166</f>
        <v>-9701964.5999999996</v>
      </c>
      <c r="J166" s="290">
        <f>IF(I166=0,"",I166/H166)</f>
        <v>-2.5531485789473685</v>
      </c>
      <c r="K166" s="235">
        <f>K7+K75+K103+K110+K117+K135+K138+K148+K151+K154+K157+K160+K163</f>
        <v>15200000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1330</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37" activePane="bottomRight" state="frozen"/>
      <selection pane="topRight"/>
      <selection pane="bottomLeft"/>
      <selection pane="bottomRight" activeCell="I148" sqref="I148"/>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"&amp;S71Sc&amp; " - "&amp;Head57</f>
        <v>KZN225 Msunduzi - Supporting Table SC13c Consolidated Monthly Budget Statement - expenditure on repairs and maintenance by asset class - Q1 First Quarter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883</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182809088.18959922</v>
      </c>
      <c r="E7" s="102">
        <f t="shared" si="0"/>
        <v>0</v>
      </c>
      <c r="F7" s="102">
        <f t="shared" si="0"/>
        <v>6165797.9900000002</v>
      </c>
      <c r="G7" s="102">
        <f t="shared" si="0"/>
        <v>9372386.2199999988</v>
      </c>
      <c r="H7" s="102">
        <f t="shared" si="0"/>
        <v>45702272.047399804</v>
      </c>
      <c r="I7" s="101">
        <f t="shared" ref="I7:I166" si="1">H7-G7</f>
        <v>36329885.827399805</v>
      </c>
      <c r="J7" s="579">
        <f t="shared" ref="J7:J166" si="2">IF(I7=0,"",I7/H7)</f>
        <v>0.79492515798165375</v>
      </c>
      <c r="K7" s="603">
        <f>K8+K13+K17+K27+K38+K45+K53+K63+K69</f>
        <v>182809088.18959922</v>
      </c>
    </row>
    <row r="8" spans="1:11" ht="12.75" customHeight="1" x14ac:dyDescent="0.2">
      <c r="A8" s="518" t="s">
        <v>1216</v>
      </c>
      <c r="B8" s="169"/>
      <c r="C8" s="677">
        <f t="shared" ref="C8:H8" si="3">SUM(C9:C12)</f>
        <v>0</v>
      </c>
      <c r="D8" s="609">
        <f t="shared" si="3"/>
        <v>67377416.652851462</v>
      </c>
      <c r="E8" s="608">
        <f t="shared" si="3"/>
        <v>0</v>
      </c>
      <c r="F8" s="608">
        <f t="shared" si="3"/>
        <v>0</v>
      </c>
      <c r="G8" s="608">
        <f t="shared" si="3"/>
        <v>0</v>
      </c>
      <c r="H8" s="608">
        <f t="shared" si="3"/>
        <v>16844354.163212866</v>
      </c>
      <c r="I8" s="258">
        <f t="shared" si="1"/>
        <v>16844354.163212866</v>
      </c>
      <c r="J8" s="575">
        <f t="shared" si="2"/>
        <v>1</v>
      </c>
      <c r="K8" s="610">
        <f>SUM(K9:K12)</f>
        <v>67377416.652851462</v>
      </c>
    </row>
    <row r="9" spans="1:11" ht="12.75" customHeight="1" x14ac:dyDescent="0.2">
      <c r="A9" s="574" t="s">
        <v>168</v>
      </c>
      <c r="B9" s="169"/>
      <c r="C9" s="748"/>
      <c r="D9" s="745">
        <v>67377416.652851462</v>
      </c>
      <c r="E9" s="733"/>
      <c r="F9" s="733"/>
      <c r="G9" s="733"/>
      <c r="H9" s="733">
        <f>D9/12*3</f>
        <v>16844354.163212866</v>
      </c>
      <c r="I9" s="258">
        <f t="shared" si="1"/>
        <v>16844354.163212866</v>
      </c>
      <c r="J9" s="575">
        <f t="shared" si="2"/>
        <v>1</v>
      </c>
      <c r="K9" s="735">
        <f>D9</f>
        <v>67377416.652851462</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72368461.652195498</v>
      </c>
      <c r="E17" s="408">
        <f t="shared" si="5"/>
        <v>0</v>
      </c>
      <c r="F17" s="408">
        <f t="shared" si="5"/>
        <v>6165797.9900000002</v>
      </c>
      <c r="G17" s="408">
        <f t="shared" si="5"/>
        <v>9372386.2199999988</v>
      </c>
      <c r="H17" s="408">
        <f t="shared" si="5"/>
        <v>18092115.413048875</v>
      </c>
      <c r="I17" s="258">
        <f t="shared" si="1"/>
        <v>8719729.1930488758</v>
      </c>
      <c r="J17" s="575">
        <f t="shared" si="2"/>
        <v>0.48196294319235888</v>
      </c>
      <c r="K17" s="642">
        <f>SUM(K18:K26)</f>
        <v>72368461.652195498</v>
      </c>
    </row>
    <row r="18" spans="1:11" ht="12.75" customHeight="1" x14ac:dyDescent="0.2">
      <c r="A18" s="574" t="s">
        <v>1225</v>
      </c>
      <c r="B18" s="169"/>
      <c r="C18" s="748"/>
      <c r="D18" s="745">
        <v>72368461.652195498</v>
      </c>
      <c r="E18" s="733"/>
      <c r="F18" s="733"/>
      <c r="G18" s="733"/>
      <c r="H18" s="733">
        <f>D18/12*3</f>
        <v>18092115.413048875</v>
      </c>
      <c r="I18" s="258">
        <f t="shared" si="1"/>
        <v>18092115.413048875</v>
      </c>
      <c r="J18" s="575">
        <f t="shared" si="2"/>
        <v>1</v>
      </c>
      <c r="K18" s="735">
        <f>D18</f>
        <v>72368461.652195498</v>
      </c>
    </row>
    <row r="19" spans="1:11" ht="12.75" customHeight="1" x14ac:dyDescent="0.2">
      <c r="A19" s="574" t="s">
        <v>1226</v>
      </c>
      <c r="B19" s="169"/>
      <c r="C19" s="748"/>
      <c r="D19" s="745"/>
      <c r="E19" s="733"/>
      <c r="F19" s="733">
        <v>1099061.1200000001</v>
      </c>
      <c r="G19" s="733">
        <v>2558588.5599999996</v>
      </c>
      <c r="H19" s="733"/>
      <c r="I19" s="258">
        <f t="shared" si="1"/>
        <v>-2558588.5599999996</v>
      </c>
      <c r="J19" s="575" t="e">
        <f t="shared" si="2"/>
        <v>#DIV/0!</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v>344990.67</v>
      </c>
      <c r="G22" s="733">
        <v>821464.51</v>
      </c>
      <c r="H22" s="733"/>
      <c r="I22" s="258">
        <f t="shared" si="1"/>
        <v>-821464.51</v>
      </c>
      <c r="J22" s="575" t="e">
        <f t="shared" si="2"/>
        <v>#DIV/0!</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v>4721746.2</v>
      </c>
      <c r="G25" s="733">
        <v>5992333.1499999994</v>
      </c>
      <c r="H25" s="733"/>
      <c r="I25" s="258">
        <f t="shared" si="1"/>
        <v>-5992333.1499999994</v>
      </c>
      <c r="J25" s="575" t="e">
        <f t="shared" si="2"/>
        <v>#DIV/0!</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22149634.806888912</v>
      </c>
      <c r="E27" s="408">
        <f t="shared" si="6"/>
        <v>0</v>
      </c>
      <c r="F27" s="408">
        <f t="shared" si="6"/>
        <v>0</v>
      </c>
      <c r="G27" s="408">
        <f t="shared" si="6"/>
        <v>0</v>
      </c>
      <c r="H27" s="408">
        <f t="shared" si="6"/>
        <v>5537408.701722228</v>
      </c>
      <c r="I27" s="258">
        <f t="shared" si="1"/>
        <v>5537408.701722228</v>
      </c>
      <c r="J27" s="575">
        <f t="shared" si="2"/>
        <v>1</v>
      </c>
      <c r="K27" s="642">
        <f>SUM(K28:K37)</f>
        <v>22149634.806888912</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v>22149634.806888912</v>
      </c>
      <c r="E34" s="733"/>
      <c r="F34" s="733"/>
      <c r="G34" s="733"/>
      <c r="H34" s="733">
        <f>D34/12*3</f>
        <v>5537408.701722228</v>
      </c>
      <c r="I34" s="258">
        <f t="shared" si="1"/>
        <v>5537408.701722228</v>
      </c>
      <c r="J34" s="575">
        <f t="shared" si="2"/>
        <v>1</v>
      </c>
      <c r="K34" s="735">
        <f>D34</f>
        <v>22149634.806888912</v>
      </c>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8775393.2630056739</v>
      </c>
      <c r="E38" s="408">
        <f t="shared" si="7"/>
        <v>0</v>
      </c>
      <c r="F38" s="408">
        <f t="shared" si="7"/>
        <v>0</v>
      </c>
      <c r="G38" s="408">
        <f t="shared" si="7"/>
        <v>0</v>
      </c>
      <c r="H38" s="408">
        <f t="shared" si="7"/>
        <v>2193848.3157514185</v>
      </c>
      <c r="I38" s="258">
        <f t="shared" si="1"/>
        <v>2193848.3157514185</v>
      </c>
      <c r="J38" s="575">
        <f t="shared" si="2"/>
        <v>1</v>
      </c>
      <c r="K38" s="642">
        <f>SUM(K39:K44)</f>
        <v>8775393.2630056739</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c r="G40" s="733"/>
      <c r="H40" s="733"/>
      <c r="I40" s="258">
        <f t="shared" si="1"/>
        <v>0</v>
      </c>
      <c r="J40" s="575" t="str">
        <f t="shared" si="2"/>
        <v/>
      </c>
      <c r="K40" s="735"/>
    </row>
    <row r="41" spans="1:11" ht="12.75" customHeight="1" x14ac:dyDescent="0.2">
      <c r="A41" s="574" t="s">
        <v>1245</v>
      </c>
      <c r="B41" s="169"/>
      <c r="C41" s="748"/>
      <c r="D41" s="745">
        <v>8775393.2630056739</v>
      </c>
      <c r="E41" s="733"/>
      <c r="F41" s="733"/>
      <c r="G41" s="733"/>
      <c r="H41" s="733">
        <f>D41/12*3</f>
        <v>2193848.3157514185</v>
      </c>
      <c r="I41" s="258">
        <f t="shared" si="1"/>
        <v>2193848.3157514185</v>
      </c>
      <c r="J41" s="575">
        <f t="shared" si="2"/>
        <v>1</v>
      </c>
      <c r="K41" s="735">
        <f>D41</f>
        <v>8775393.2630056739</v>
      </c>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12138181.814657664</v>
      </c>
      <c r="E45" s="408">
        <f t="shared" si="8"/>
        <v>0</v>
      </c>
      <c r="F45" s="408">
        <f t="shared" si="8"/>
        <v>0</v>
      </c>
      <c r="G45" s="408">
        <f t="shared" si="8"/>
        <v>0</v>
      </c>
      <c r="H45" s="408">
        <f t="shared" si="8"/>
        <v>3034545.453664416</v>
      </c>
      <c r="I45" s="258">
        <f t="shared" si="1"/>
        <v>3034545.453664416</v>
      </c>
      <c r="J45" s="575">
        <f t="shared" si="2"/>
        <v>1</v>
      </c>
      <c r="K45" s="642">
        <f>SUM(K46:K52)</f>
        <v>12138181.814657664</v>
      </c>
    </row>
    <row r="46" spans="1:11" ht="12.75" customHeight="1" x14ac:dyDescent="0.2">
      <c r="A46" s="574" t="s">
        <v>1249</v>
      </c>
      <c r="B46" s="169"/>
      <c r="C46" s="748"/>
      <c r="D46" s="745">
        <v>12138181.814657664</v>
      </c>
      <c r="E46" s="733"/>
      <c r="F46" s="733"/>
      <c r="G46" s="733"/>
      <c r="H46" s="733">
        <f>D46/12*3</f>
        <v>3034545.453664416</v>
      </c>
      <c r="I46" s="258">
        <f t="shared" si="1"/>
        <v>3034545.453664416</v>
      </c>
      <c r="J46" s="575">
        <f t="shared" si="2"/>
        <v>1</v>
      </c>
      <c r="K46" s="735">
        <f>D46</f>
        <v>12138181.814657664</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23512721.348855015</v>
      </c>
      <c r="E75" s="578">
        <f t="shared" si="12"/>
        <v>0</v>
      </c>
      <c r="F75" s="578">
        <f t="shared" si="12"/>
        <v>0</v>
      </c>
      <c r="G75" s="578">
        <f t="shared" si="12"/>
        <v>0</v>
      </c>
      <c r="H75" s="578">
        <f t="shared" si="12"/>
        <v>5878180.3372137537</v>
      </c>
      <c r="I75" s="578">
        <f t="shared" si="1"/>
        <v>5878180.3372137537</v>
      </c>
      <c r="J75" s="579">
        <f t="shared" si="2"/>
        <v>1</v>
      </c>
      <c r="K75" s="580">
        <f>+K76+K99</f>
        <v>23512721.348855015</v>
      </c>
    </row>
    <row r="76" spans="1:11" ht="12.75" customHeight="1" x14ac:dyDescent="0.2">
      <c r="A76" s="518" t="s">
        <v>1268</v>
      </c>
      <c r="B76" s="169"/>
      <c r="C76" s="648">
        <f t="shared" ref="C76:H76" si="13">SUM(C77:C98)</f>
        <v>0</v>
      </c>
      <c r="D76" s="649">
        <f t="shared" si="13"/>
        <v>23512721.348855015</v>
      </c>
      <c r="E76" s="408">
        <f t="shared" si="13"/>
        <v>0</v>
      </c>
      <c r="F76" s="408">
        <f t="shared" si="13"/>
        <v>0</v>
      </c>
      <c r="G76" s="408">
        <f t="shared" si="13"/>
        <v>0</v>
      </c>
      <c r="H76" s="408">
        <f t="shared" si="13"/>
        <v>5878180.3372137537</v>
      </c>
      <c r="I76" s="258">
        <f t="shared" si="1"/>
        <v>5878180.3372137537</v>
      </c>
      <c r="J76" s="575">
        <f t="shared" si="2"/>
        <v>1</v>
      </c>
      <c r="K76" s="642">
        <f>SUM(K77:K98)</f>
        <v>23512721.348855015</v>
      </c>
    </row>
    <row r="77" spans="1:11" ht="12.75" customHeight="1" x14ac:dyDescent="0.2">
      <c r="A77" s="574" t="s">
        <v>1269</v>
      </c>
      <c r="B77" s="169"/>
      <c r="C77" s="748"/>
      <c r="D77" s="753">
        <v>927507.91476110253</v>
      </c>
      <c r="E77" s="733"/>
      <c r="F77" s="733"/>
      <c r="G77" s="733"/>
      <c r="H77" s="733">
        <f>D77/12*3</f>
        <v>231876.97869027563</v>
      </c>
      <c r="I77" s="44">
        <f t="shared" si="1"/>
        <v>231876.97869027563</v>
      </c>
      <c r="J77" s="124">
        <f t="shared" si="2"/>
        <v>1</v>
      </c>
      <c r="K77" s="735">
        <f>D77</f>
        <v>927507.91476110253</v>
      </c>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v>462304.07259779621</v>
      </c>
      <c r="E80" s="733"/>
      <c r="F80" s="733"/>
      <c r="G80" s="733"/>
      <c r="H80" s="733">
        <f>D80/12*3</f>
        <v>115576.01814944905</v>
      </c>
      <c r="I80" s="44">
        <f t="shared" si="1"/>
        <v>115576.01814944905</v>
      </c>
      <c r="J80" s="124">
        <f t="shared" si="2"/>
        <v>1</v>
      </c>
      <c r="K80" s="735">
        <f>D80</f>
        <v>462304.07259779621</v>
      </c>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v>877730.44747647608</v>
      </c>
      <c r="E86" s="733"/>
      <c r="F86" s="733"/>
      <c r="G86" s="733"/>
      <c r="H86" s="733">
        <f>D86/12*3</f>
        <v>219432.61186911902</v>
      </c>
      <c r="I86" s="44">
        <f t="shared" si="1"/>
        <v>219432.61186911902</v>
      </c>
      <c r="J86" s="124">
        <f t="shared" si="2"/>
        <v>1</v>
      </c>
      <c r="K86" s="735">
        <f>D86</f>
        <v>877730.44747647608</v>
      </c>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v>3810451.939867402</v>
      </c>
      <c r="E88" s="733"/>
      <c r="F88" s="733"/>
      <c r="G88" s="733"/>
      <c r="H88" s="733">
        <f>D88/12*3</f>
        <v>952612.98496685049</v>
      </c>
      <c r="I88" s="44">
        <f t="shared" si="1"/>
        <v>952612.98496685049</v>
      </c>
      <c r="J88" s="124">
        <f t="shared" si="2"/>
        <v>1</v>
      </c>
      <c r="K88" s="735">
        <f>D88</f>
        <v>3810451.939867402</v>
      </c>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v>12558212.863144819</v>
      </c>
      <c r="E90" s="733"/>
      <c r="F90" s="733"/>
      <c r="G90" s="733"/>
      <c r="H90" s="733">
        <f>D90/12*3</f>
        <v>3139553.2157862047</v>
      </c>
      <c r="I90" s="44">
        <f t="shared" si="1"/>
        <v>3139553.2157862047</v>
      </c>
      <c r="J90" s="124">
        <f t="shared" si="2"/>
        <v>1</v>
      </c>
      <c r="K90" s="735">
        <f>D90</f>
        <v>12558212.863144819</v>
      </c>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v>4876514.1110074176</v>
      </c>
      <c r="E93" s="733"/>
      <c r="F93" s="733"/>
      <c r="G93" s="733"/>
      <c r="H93" s="733">
        <f>D93/12*3</f>
        <v>1219128.5277518544</v>
      </c>
      <c r="I93" s="44">
        <f t="shared" si="1"/>
        <v>1219128.5277518544</v>
      </c>
      <c r="J93" s="124">
        <f t="shared" si="2"/>
        <v>1</v>
      </c>
      <c r="K93" s="735">
        <f>D93</f>
        <v>4876514.1110074176</v>
      </c>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26982004.797416411</v>
      </c>
      <c r="E103" s="99">
        <f t="shared" si="15"/>
        <v>0</v>
      </c>
      <c r="F103" s="99">
        <f t="shared" si="15"/>
        <v>0</v>
      </c>
      <c r="G103" s="99">
        <f t="shared" si="15"/>
        <v>0</v>
      </c>
      <c r="H103" s="99">
        <f t="shared" si="15"/>
        <v>6745501.1993541028</v>
      </c>
      <c r="I103" s="99">
        <f t="shared" si="1"/>
        <v>6745501.1993541028</v>
      </c>
      <c r="J103" s="324">
        <f t="shared" si="2"/>
        <v>1</v>
      </c>
      <c r="K103" s="195">
        <f>SUM(K104:K108)</f>
        <v>26982004.797416411</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v>26982004.797416411</v>
      </c>
      <c r="E105" s="733"/>
      <c r="F105" s="733"/>
      <c r="G105" s="733"/>
      <c r="H105" s="733">
        <f>D105/12*3</f>
        <v>6745501.1993541028</v>
      </c>
      <c r="I105" s="44">
        <f t="shared" si="1"/>
        <v>6745501.1993541028</v>
      </c>
      <c r="J105" s="124">
        <f t="shared" si="2"/>
        <v>1</v>
      </c>
      <c r="K105" s="735">
        <f>D105</f>
        <v>26982004.797416411</v>
      </c>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594185.73999999987</v>
      </c>
      <c r="G117" s="578">
        <f t="shared" si="19"/>
        <v>-38342.820000000102</v>
      </c>
      <c r="H117" s="578">
        <f t="shared" si="19"/>
        <v>0</v>
      </c>
      <c r="I117" s="578">
        <f t="shared" si="1"/>
        <v>38342.820000000102</v>
      </c>
      <c r="J117" s="579" t="e">
        <f t="shared" si="2"/>
        <v>#DIV/0!</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594185.73999999987</v>
      </c>
      <c r="G118" s="408">
        <f t="shared" si="20"/>
        <v>-38342.820000000102</v>
      </c>
      <c r="H118" s="408">
        <f t="shared" si="20"/>
        <v>0</v>
      </c>
      <c r="I118" s="258">
        <f t="shared" si="1"/>
        <v>38342.820000000102</v>
      </c>
      <c r="J118" s="575" t="e">
        <f t="shared" si="2"/>
        <v>#DIV/0!</v>
      </c>
      <c r="K118" s="642">
        <f>SUM(K119:K129)</f>
        <v>0</v>
      </c>
    </row>
    <row r="119" spans="1:11" ht="12.75" customHeight="1" x14ac:dyDescent="0.2">
      <c r="A119" s="574" t="s">
        <v>1299</v>
      </c>
      <c r="B119" s="169"/>
      <c r="C119" s="748"/>
      <c r="D119" s="753"/>
      <c r="E119" s="733"/>
      <c r="F119" s="733">
        <v>594185.73999999987</v>
      </c>
      <c r="G119" s="733">
        <v>-38342.820000000102</v>
      </c>
      <c r="H119" s="733"/>
      <c r="I119" s="44">
        <f t="shared" si="1"/>
        <v>38342.820000000102</v>
      </c>
      <c r="J119" s="124" t="e">
        <f t="shared" si="2"/>
        <v>#DIV/0!</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c r="H144" s="733"/>
      <c r="I144" s="44">
        <f t="shared" si="25"/>
        <v>0</v>
      </c>
      <c r="J144" s="124" t="str">
        <f t="shared" si="23"/>
        <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
      <c r="A149" s="518" t="s">
        <v>1321</v>
      </c>
      <c r="B149" s="169"/>
      <c r="C149" s="748"/>
      <c r="D149" s="753"/>
      <c r="E149" s="733"/>
      <c r="F149" s="733"/>
      <c r="G149" s="733"/>
      <c r="H149" s="733"/>
      <c r="I149" s="44">
        <f>H149-G149</f>
        <v>0</v>
      </c>
      <c r="J149" s="124" t="str">
        <f>IF(I149=0,"",I149/H149)</f>
        <v/>
      </c>
      <c r="K149" s="735"/>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
      <c r="A152" s="518" t="s">
        <v>1322</v>
      </c>
      <c r="B152" s="169"/>
      <c r="C152" s="748"/>
      <c r="D152" s="753"/>
      <c r="E152" s="733"/>
      <c r="F152" s="733"/>
      <c r="G152" s="733"/>
      <c r="H152" s="733"/>
      <c r="I152" s="44">
        <f>H152-G152</f>
        <v>0</v>
      </c>
      <c r="J152" s="124" t="str">
        <f>IF(I152=0,"",I152/H152)</f>
        <v/>
      </c>
      <c r="K152" s="735"/>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0</v>
      </c>
      <c r="E154" s="578">
        <f t="shared" si="29"/>
        <v>0</v>
      </c>
      <c r="F154" s="578">
        <f t="shared" si="29"/>
        <v>-343727.12999999995</v>
      </c>
      <c r="G154" s="578">
        <f t="shared" si="29"/>
        <v>3852923.2499999995</v>
      </c>
      <c r="H154" s="578">
        <f t="shared" si="29"/>
        <v>0</v>
      </c>
      <c r="I154" s="578">
        <f>H154-G154</f>
        <v>-3852923.2499999995</v>
      </c>
      <c r="J154" s="324" t="e">
        <f>IF(I154=0,"",I154/H154)</f>
        <v>#DIV/0!</v>
      </c>
      <c r="K154" s="580">
        <f>SUM(K155)</f>
        <v>0</v>
      </c>
    </row>
    <row r="155" spans="1:12" ht="12.75" customHeight="1" x14ac:dyDescent="0.2">
      <c r="A155" s="518" t="s">
        <v>1323</v>
      </c>
      <c r="B155" s="169"/>
      <c r="C155" s="748"/>
      <c r="D155" s="753"/>
      <c r="E155" s="733"/>
      <c r="F155" s="733">
        <v>-343727.12999999995</v>
      </c>
      <c r="G155" s="733">
        <v>3852923.2499999995</v>
      </c>
      <c r="H155" s="733"/>
      <c r="I155" s="44">
        <f>H155-G155</f>
        <v>-3852923.2499999995</v>
      </c>
      <c r="J155" s="124" t="e">
        <f>IF(I155=0,"",I155/H155)</f>
        <v>#DIV/0!</v>
      </c>
      <c r="K155" s="735"/>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884</v>
      </c>
      <c r="B166" s="236">
        <v>1</v>
      </c>
      <c r="C166" s="112">
        <f t="shared" ref="C166:H166" si="33">C7+C75+C103+C110+C117+C135+C138+C148+C151+C154+C157+C160+C163</f>
        <v>0</v>
      </c>
      <c r="D166" s="271">
        <f t="shared" si="33"/>
        <v>233303814.33587065</v>
      </c>
      <c r="E166" s="55">
        <f t="shared" si="33"/>
        <v>0</v>
      </c>
      <c r="F166" s="55">
        <f t="shared" si="33"/>
        <v>6416256.6000000006</v>
      </c>
      <c r="G166" s="55">
        <f t="shared" si="33"/>
        <v>13186966.649999999</v>
      </c>
      <c r="H166" s="55">
        <f t="shared" si="33"/>
        <v>58325953.583967663</v>
      </c>
      <c r="I166" s="55">
        <f t="shared" si="1"/>
        <v>45138986.933967665</v>
      </c>
      <c r="J166" s="290">
        <f t="shared" si="2"/>
        <v>0.77390911181562294</v>
      </c>
      <c r="K166" s="235">
        <f>K7+K75+K103+K110+K117+K135+K138+K148+K151+K154+K157+K160+K163</f>
        <v>233303814.33587065</v>
      </c>
    </row>
    <row r="167" spans="1:11" ht="12.75" customHeight="1" x14ac:dyDescent="0.2">
      <c r="A167" s="57"/>
      <c r="B167" s="58"/>
      <c r="C167" s="62"/>
      <c r="D167" s="62"/>
      <c r="E167" s="62"/>
      <c r="F167" s="62"/>
      <c r="G167" s="62"/>
      <c r="H167" s="62"/>
      <c r="I167" s="62"/>
      <c r="J167" s="62"/>
      <c r="K167" s="62"/>
    </row>
    <row r="168" spans="1:11" ht="12.75" customHeight="1" x14ac:dyDescent="0.2">
      <c r="A168" s="703"/>
      <c r="B168" s="58"/>
      <c r="C168" s="62"/>
      <c r="D168" s="62"/>
      <c r="E168" s="62"/>
      <c r="F168" s="62"/>
      <c r="G168" s="62"/>
      <c r="H168" s="62"/>
      <c r="I168" s="62"/>
      <c r="J168" s="62"/>
      <c r="K168" s="62"/>
    </row>
    <row r="169" spans="1:11" ht="11.25" customHeight="1" x14ac:dyDescent="0.2">
      <c r="A169" s="703"/>
      <c r="B169" s="58"/>
      <c r="C169" s="62"/>
      <c r="D169" s="62"/>
      <c r="E169" s="62"/>
      <c r="F169" s="62"/>
      <c r="G169" s="62"/>
      <c r="H169" s="62"/>
      <c r="I169" s="62"/>
      <c r="J169" s="62"/>
      <c r="K169" s="62"/>
    </row>
    <row r="170" spans="1:11" ht="11.25" customHeight="1" x14ac:dyDescent="0.2">
      <c r="A170" s="703"/>
      <c r="B170" s="64"/>
      <c r="C170" s="135"/>
      <c r="D170" s="135"/>
      <c r="E170" s="135"/>
      <c r="F170" s="118"/>
      <c r="G170" s="118"/>
      <c r="H170" s="118"/>
      <c r="I170" s="118"/>
      <c r="J170" s="118"/>
      <c r="K170" s="118"/>
    </row>
    <row r="171" spans="1:11" ht="11.25" customHeight="1" x14ac:dyDescent="0.2">
      <c r="A171" s="703"/>
    </row>
    <row r="172" spans="1:11" ht="11.25" customHeight="1" x14ac:dyDescent="0.2">
      <c r="A172" s="703"/>
    </row>
    <row r="173" spans="1:11" ht="11.25" customHeight="1" x14ac:dyDescent="0.2">
      <c r="A173" s="703"/>
    </row>
    <row r="174" spans="1:11" ht="11.25" customHeight="1" x14ac:dyDescent="0.2">
      <c r="A174" s="887"/>
    </row>
    <row r="175" spans="1:11" ht="11.25" customHeight="1" x14ac:dyDescent="0.2">
      <c r="A175" s="887"/>
    </row>
    <row r="176" spans="1:11" ht="11.25" customHeight="1" x14ac:dyDescent="0.2">
      <c r="A176" s="887"/>
    </row>
    <row r="177" spans="1:1" ht="11.25" customHeight="1" x14ac:dyDescent="0.2">
      <c r="A177" s="887"/>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77" activePane="bottomRight" state="frozen"/>
      <selection pane="topRight"/>
      <selection pane="bottomLeft"/>
      <selection pane="bottomRight" activeCell="N88" sqref="N88"/>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"&amp;S71Sd&amp; " - "&amp;Head57</f>
        <v>KZN225 Msunduzi - Supporting Table SC13d Consolidated Monthly Budget Statement - depreciation by asset class - Q1 First Quarter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1074</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102185430.65296483</v>
      </c>
      <c r="E7" s="102">
        <f t="shared" si="0"/>
        <v>0</v>
      </c>
      <c r="F7" s="102">
        <f t="shared" si="0"/>
        <v>25688327.84</v>
      </c>
      <c r="G7" s="102">
        <f t="shared" si="0"/>
        <v>80803791.75</v>
      </c>
      <c r="H7" s="102">
        <f t="shared" si="0"/>
        <v>25546357.663241208</v>
      </c>
      <c r="I7" s="101">
        <f t="shared" ref="I7:I166" si="1">H7-G7</f>
        <v>-55257434.086758792</v>
      </c>
      <c r="J7" s="579">
        <f t="shared" ref="J7:J166" si="2">IF(I7=0,"",I7/H7)</f>
        <v>-2.1630259317268159</v>
      </c>
      <c r="K7" s="603">
        <f>K8+K13+K17+K27+K38+K45+K53+K63+K69</f>
        <v>102185430.65296483</v>
      </c>
    </row>
    <row r="8" spans="1:11" ht="12.75" customHeight="1" x14ac:dyDescent="0.2">
      <c r="A8" s="518" t="s">
        <v>1216</v>
      </c>
      <c r="B8" s="169"/>
      <c r="C8" s="677">
        <f t="shared" ref="C8:H8" si="3">SUM(C9:C12)</f>
        <v>0</v>
      </c>
      <c r="D8" s="609">
        <f t="shared" si="3"/>
        <v>14933619.963149311</v>
      </c>
      <c r="E8" s="608">
        <f t="shared" si="3"/>
        <v>0</v>
      </c>
      <c r="F8" s="608">
        <f t="shared" si="3"/>
        <v>9835867.959999999</v>
      </c>
      <c r="G8" s="608">
        <f t="shared" si="3"/>
        <v>30161264.709999997</v>
      </c>
      <c r="H8" s="608">
        <f t="shared" si="3"/>
        <v>3733404.9907873278</v>
      </c>
      <c r="I8" s="258">
        <f t="shared" si="1"/>
        <v>-26427859.71921267</v>
      </c>
      <c r="J8" s="575">
        <f t="shared" si="2"/>
        <v>-7.0787551268686144</v>
      </c>
      <c r="K8" s="610">
        <f>SUM(K9:K12)</f>
        <v>14933619.963149311</v>
      </c>
    </row>
    <row r="9" spans="1:11" ht="12.75" customHeight="1" x14ac:dyDescent="0.2">
      <c r="A9" s="574" t="s">
        <v>168</v>
      </c>
      <c r="B9" s="169"/>
      <c r="C9" s="748"/>
      <c r="D9" s="745">
        <v>14851561.889929518</v>
      </c>
      <c r="E9" s="733"/>
      <c r="F9" s="733">
        <v>9835867.959999999</v>
      </c>
      <c r="G9" s="733">
        <v>30161264.709999997</v>
      </c>
      <c r="H9" s="733">
        <f>D9/12*3</f>
        <v>3712890.4724823795</v>
      </c>
      <c r="I9" s="258">
        <f t="shared" si="1"/>
        <v>-26448374.237517618</v>
      </c>
      <c r="J9" s="575">
        <f t="shared" si="2"/>
        <v>-7.1233919862534094</v>
      </c>
      <c r="K9" s="735">
        <f>D9</f>
        <v>14851561.889929518</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v>82058.073219792102</v>
      </c>
      <c r="E12" s="733"/>
      <c r="F12" s="733"/>
      <c r="G12" s="733"/>
      <c r="H12" s="733">
        <f>D12/12*3</f>
        <v>20514.518304948026</v>
      </c>
      <c r="I12" s="258">
        <f t="shared" si="1"/>
        <v>20514.518304948026</v>
      </c>
      <c r="J12" s="575">
        <f t="shared" si="2"/>
        <v>1</v>
      </c>
      <c r="K12" s="735">
        <f>D12</f>
        <v>82058.073219792102</v>
      </c>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80844690.254493043</v>
      </c>
      <c r="E17" s="408">
        <f t="shared" si="5"/>
        <v>0</v>
      </c>
      <c r="F17" s="408">
        <f t="shared" si="5"/>
        <v>7740570.1799999997</v>
      </c>
      <c r="G17" s="408">
        <f t="shared" si="5"/>
        <v>23737841.77</v>
      </c>
      <c r="H17" s="408">
        <f t="shared" si="5"/>
        <v>20211172.563623261</v>
      </c>
      <c r="I17" s="258">
        <f t="shared" si="1"/>
        <v>-3526669.2063767388</v>
      </c>
      <c r="J17" s="575">
        <f t="shared" si="2"/>
        <v>-0.17449107394808727</v>
      </c>
      <c r="K17" s="642">
        <f>SUM(K18:K26)</f>
        <v>80844690.254493043</v>
      </c>
    </row>
    <row r="18" spans="1:11" ht="12.75" customHeight="1" x14ac:dyDescent="0.2">
      <c r="A18" s="574" t="s">
        <v>1225</v>
      </c>
      <c r="B18" s="169"/>
      <c r="C18" s="748"/>
      <c r="D18" s="745"/>
      <c r="E18" s="733"/>
      <c r="F18" s="733"/>
      <c r="G18" s="733"/>
      <c r="H18" s="733"/>
      <c r="I18" s="258">
        <f t="shared" si="1"/>
        <v>0</v>
      </c>
      <c r="J18" s="575" t="str">
        <f t="shared" si="2"/>
        <v/>
      </c>
      <c r="K18" s="735"/>
    </row>
    <row r="19" spans="1:11" ht="12.75" customHeight="1" x14ac:dyDescent="0.2">
      <c r="A19" s="574" t="s">
        <v>1226</v>
      </c>
      <c r="B19" s="169"/>
      <c r="C19" s="748"/>
      <c r="D19" s="745">
        <v>39300782.18353869</v>
      </c>
      <c r="E19" s="733"/>
      <c r="F19" s="733">
        <v>2893044.5900000003</v>
      </c>
      <c r="G19" s="733">
        <v>8872095.5999999978</v>
      </c>
      <c r="H19" s="733">
        <f t="shared" ref="H19:H22" si="6">D19/12*3</f>
        <v>9825195.5458846726</v>
      </c>
      <c r="I19" s="258">
        <f t="shared" si="1"/>
        <v>953099.94588467479</v>
      </c>
      <c r="J19" s="575">
        <f t="shared" si="2"/>
        <v>9.7005697386235226E-2</v>
      </c>
      <c r="K19" s="735">
        <f>D19</f>
        <v>39300782.18353869</v>
      </c>
    </row>
    <row r="20" spans="1:11" ht="12.75" customHeight="1" x14ac:dyDescent="0.2">
      <c r="A20" s="574" t="s">
        <v>1227</v>
      </c>
      <c r="B20" s="169"/>
      <c r="C20" s="748"/>
      <c r="D20" s="745">
        <v>30417611.026810348</v>
      </c>
      <c r="E20" s="733"/>
      <c r="F20" s="733">
        <v>339377.04000000004</v>
      </c>
      <c r="G20" s="733">
        <v>1040758.1599999999</v>
      </c>
      <c r="H20" s="733">
        <f t="shared" si="6"/>
        <v>7604402.756702587</v>
      </c>
      <c r="I20" s="258">
        <f t="shared" si="1"/>
        <v>6563644.5967025869</v>
      </c>
      <c r="J20" s="575">
        <f t="shared" si="2"/>
        <v>0.86313742271440497</v>
      </c>
      <c r="K20" s="735">
        <f>D20</f>
        <v>30417611.026810348</v>
      </c>
    </row>
    <row r="21" spans="1:11" ht="12.75" customHeight="1" x14ac:dyDescent="0.2">
      <c r="A21" s="574" t="s">
        <v>1228</v>
      </c>
      <c r="B21" s="169"/>
      <c r="C21" s="748"/>
      <c r="D21" s="745">
        <v>10972255.34036158</v>
      </c>
      <c r="E21" s="733"/>
      <c r="F21" s="733">
        <v>4337815.8099999996</v>
      </c>
      <c r="G21" s="733">
        <v>13302634.959999999</v>
      </c>
      <c r="H21" s="733">
        <f t="shared" si="6"/>
        <v>2743063.8350903951</v>
      </c>
      <c r="I21" s="258">
        <f t="shared" si="1"/>
        <v>-10559571.124909604</v>
      </c>
      <c r="J21" s="575">
        <f t="shared" si="2"/>
        <v>-3.8495535502408837</v>
      </c>
      <c r="K21" s="735">
        <f>D21</f>
        <v>10972255.34036158</v>
      </c>
    </row>
    <row r="22" spans="1:11" ht="12.75" customHeight="1" x14ac:dyDescent="0.2">
      <c r="A22" s="574" t="s">
        <v>1229</v>
      </c>
      <c r="B22" s="169"/>
      <c r="C22" s="748"/>
      <c r="D22" s="745">
        <v>154041.70378242273</v>
      </c>
      <c r="E22" s="733"/>
      <c r="F22" s="733"/>
      <c r="G22" s="733"/>
      <c r="H22" s="733">
        <f t="shared" si="6"/>
        <v>38510.425945605683</v>
      </c>
      <c r="I22" s="258">
        <f t="shared" si="1"/>
        <v>38510.425945605683</v>
      </c>
      <c r="J22" s="575">
        <f t="shared" si="2"/>
        <v>1</v>
      </c>
      <c r="K22" s="735">
        <f>D22</f>
        <v>154041.70378242273</v>
      </c>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v>170332.74</v>
      </c>
      <c r="G25" s="733">
        <v>522353.05000000005</v>
      </c>
      <c r="H25" s="733"/>
      <c r="I25" s="258">
        <f t="shared" si="1"/>
        <v>-522353.05000000005</v>
      </c>
      <c r="J25" s="575" t="e">
        <f t="shared" si="2"/>
        <v>#DIV/0!</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7">SUM(C28:C37)</f>
        <v>0</v>
      </c>
      <c r="D27" s="649">
        <f t="shared" si="7"/>
        <v>6407120.435322484</v>
      </c>
      <c r="E27" s="408">
        <f t="shared" si="7"/>
        <v>0</v>
      </c>
      <c r="F27" s="408">
        <f t="shared" si="7"/>
        <v>6992836.0299999984</v>
      </c>
      <c r="G27" s="408">
        <f t="shared" si="7"/>
        <v>21444698.959999997</v>
      </c>
      <c r="H27" s="408">
        <f t="shared" si="7"/>
        <v>1601780.108830621</v>
      </c>
      <c r="I27" s="258">
        <f t="shared" si="1"/>
        <v>-19842918.851169378</v>
      </c>
      <c r="J27" s="575">
        <f t="shared" si="2"/>
        <v>-12.388041742917942</v>
      </c>
      <c r="K27" s="642">
        <f>SUM(K28:K37)</f>
        <v>6407120.435322484</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v>6407120.435322484</v>
      </c>
      <c r="E30" s="733"/>
      <c r="F30" s="733">
        <v>6992836.0299999984</v>
      </c>
      <c r="G30" s="733">
        <v>21444698.959999997</v>
      </c>
      <c r="H30" s="733">
        <f>D30/12*3</f>
        <v>1601780.108830621</v>
      </c>
      <c r="I30" s="258">
        <f t="shared" si="1"/>
        <v>-19842918.851169378</v>
      </c>
      <c r="J30" s="575">
        <f t="shared" si="2"/>
        <v>-12.388041742917942</v>
      </c>
      <c r="K30" s="735">
        <f>D30</f>
        <v>6407120.435322484</v>
      </c>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c r="H34" s="733"/>
      <c r="I34" s="258">
        <f t="shared" si="1"/>
        <v>0</v>
      </c>
      <c r="J34" s="575" t="str">
        <f t="shared" si="2"/>
        <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8">SUM(C39:C44)</f>
        <v>0</v>
      </c>
      <c r="D38" s="649">
        <f t="shared" si="8"/>
        <v>0</v>
      </c>
      <c r="E38" s="408">
        <f t="shared" si="8"/>
        <v>0</v>
      </c>
      <c r="F38" s="408">
        <f t="shared" si="8"/>
        <v>1656535.1200000003</v>
      </c>
      <c r="G38" s="408">
        <f t="shared" si="8"/>
        <v>5080040.09</v>
      </c>
      <c r="H38" s="408">
        <f t="shared" si="8"/>
        <v>0</v>
      </c>
      <c r="I38" s="258">
        <f t="shared" si="1"/>
        <v>-5080040.09</v>
      </c>
      <c r="J38" s="575" t="e">
        <f t="shared" si="2"/>
        <v>#DIV/0!</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v>1656535.1200000003</v>
      </c>
      <c r="G40" s="733">
        <v>5080040.09</v>
      </c>
      <c r="H40" s="733"/>
      <c r="I40" s="258">
        <f t="shared" si="1"/>
        <v>-5080040.09</v>
      </c>
      <c r="J40" s="575" t="e">
        <f t="shared" si="2"/>
        <v>#DIV/0!</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9">SUM(C46:C52)</f>
        <v>0</v>
      </c>
      <c r="D45" s="649">
        <f t="shared" si="9"/>
        <v>0</v>
      </c>
      <c r="E45" s="408">
        <f t="shared" si="9"/>
        <v>0</v>
      </c>
      <c r="F45" s="408">
        <f t="shared" si="9"/>
        <v>-547287.80999999994</v>
      </c>
      <c r="G45" s="408">
        <f t="shared" si="9"/>
        <v>349873.41000000003</v>
      </c>
      <c r="H45" s="408">
        <f t="shared" si="9"/>
        <v>0</v>
      </c>
      <c r="I45" s="258">
        <f t="shared" si="1"/>
        <v>-349873.41000000003</v>
      </c>
      <c r="J45" s="575" t="e">
        <f t="shared" si="2"/>
        <v>#DIV/0!</v>
      </c>
      <c r="K45" s="642">
        <f>SUM(K46:K52)</f>
        <v>0</v>
      </c>
    </row>
    <row r="46" spans="1:11" ht="12.75" customHeight="1" x14ac:dyDescent="0.2">
      <c r="A46" s="574" t="s">
        <v>1249</v>
      </c>
      <c r="B46" s="169"/>
      <c r="C46" s="748"/>
      <c r="D46" s="745"/>
      <c r="E46" s="733"/>
      <c r="F46" s="733">
        <v>-547287.80999999994</v>
      </c>
      <c r="G46" s="733">
        <v>349873.41000000003</v>
      </c>
      <c r="H46" s="733"/>
      <c r="I46" s="258">
        <f t="shared" si="1"/>
        <v>-349873.41000000003</v>
      </c>
      <c r="J46" s="575" t="e">
        <f t="shared" si="2"/>
        <v>#DIV/0!</v>
      </c>
      <c r="K46" s="735"/>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10">SUM(C54:C62)</f>
        <v>0</v>
      </c>
      <c r="D53" s="649">
        <f t="shared" si="10"/>
        <v>0</v>
      </c>
      <c r="E53" s="408">
        <f t="shared" si="10"/>
        <v>0</v>
      </c>
      <c r="F53" s="408">
        <f t="shared" si="10"/>
        <v>9806.3599999999988</v>
      </c>
      <c r="G53" s="408">
        <f t="shared" si="10"/>
        <v>30072.809999999994</v>
      </c>
      <c r="H53" s="408">
        <f t="shared" si="10"/>
        <v>0</v>
      </c>
      <c r="I53" s="258">
        <f t="shared" si="1"/>
        <v>-30072.809999999994</v>
      </c>
      <c r="J53" s="575" t="e">
        <f t="shared" si="2"/>
        <v>#DIV/0!</v>
      </c>
      <c r="K53" s="642">
        <f>SUM(K54:K62)</f>
        <v>0</v>
      </c>
    </row>
    <row r="54" spans="1:11" ht="12.75" customHeight="1" x14ac:dyDescent="0.2">
      <c r="A54" s="574" t="s">
        <v>1256</v>
      </c>
      <c r="B54" s="169"/>
      <c r="C54" s="748"/>
      <c r="D54" s="745"/>
      <c r="E54" s="733"/>
      <c r="F54" s="733">
        <v>9806.3599999999988</v>
      </c>
      <c r="G54" s="733">
        <v>30072.809999999994</v>
      </c>
      <c r="H54" s="733"/>
      <c r="I54" s="258">
        <f t="shared" si="1"/>
        <v>-30072.809999999994</v>
      </c>
      <c r="J54" s="575" t="e">
        <f t="shared" si="2"/>
        <v>#DIV/0!</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3">+C76+C99</f>
        <v>0</v>
      </c>
      <c r="D75" s="577">
        <f t="shared" si="13"/>
        <v>38330211.728626624</v>
      </c>
      <c r="E75" s="578">
        <f t="shared" si="13"/>
        <v>0</v>
      </c>
      <c r="F75" s="578">
        <f t="shared" si="13"/>
        <v>2466822.4800000004</v>
      </c>
      <c r="G75" s="578">
        <f t="shared" si="13"/>
        <v>7540796.7799999993</v>
      </c>
      <c r="H75" s="578">
        <f t="shared" si="13"/>
        <v>9582552.9321566559</v>
      </c>
      <c r="I75" s="578">
        <f t="shared" si="1"/>
        <v>2041756.1521566566</v>
      </c>
      <c r="J75" s="579">
        <f t="shared" si="2"/>
        <v>0.21307016685553937</v>
      </c>
      <c r="K75" s="580">
        <f>+K76+K99</f>
        <v>38330211.728626624</v>
      </c>
    </row>
    <row r="76" spans="1:11" ht="12.75" customHeight="1" x14ac:dyDescent="0.2">
      <c r="A76" s="518" t="s">
        <v>1268</v>
      </c>
      <c r="B76" s="169"/>
      <c r="C76" s="648">
        <f t="shared" ref="C76:H76" si="14">SUM(C77:C98)</f>
        <v>0</v>
      </c>
      <c r="D76" s="649">
        <f t="shared" si="14"/>
        <v>22212964.603795335</v>
      </c>
      <c r="E76" s="408">
        <f t="shared" si="14"/>
        <v>0</v>
      </c>
      <c r="F76" s="408">
        <f t="shared" si="14"/>
        <v>1363641.4000000001</v>
      </c>
      <c r="G76" s="408">
        <f t="shared" si="14"/>
        <v>4157707.8699999996</v>
      </c>
      <c r="H76" s="408">
        <f t="shared" si="14"/>
        <v>5553241.1509488337</v>
      </c>
      <c r="I76" s="258">
        <f t="shared" si="1"/>
        <v>1395533.280948834</v>
      </c>
      <c r="J76" s="575">
        <f t="shared" si="2"/>
        <v>0.25130068063231714</v>
      </c>
      <c r="K76" s="642">
        <f>SUM(K77:K98)</f>
        <v>22212964.603795335</v>
      </c>
    </row>
    <row r="77" spans="1:11" ht="12.75" customHeight="1" x14ac:dyDescent="0.2">
      <c r="A77" s="574" t="s">
        <v>1269</v>
      </c>
      <c r="B77" s="169"/>
      <c r="C77" s="748"/>
      <c r="D77" s="753">
        <v>216338.10110699103</v>
      </c>
      <c r="E77" s="733"/>
      <c r="F77" s="733"/>
      <c r="G77" s="733"/>
      <c r="H77" s="733">
        <f>D77/12*3</f>
        <v>54084.525276747765</v>
      </c>
      <c r="I77" s="44">
        <f t="shared" si="1"/>
        <v>54084.525276747765</v>
      </c>
      <c r="J77" s="124">
        <f t="shared" si="2"/>
        <v>1</v>
      </c>
      <c r="K77" s="735">
        <f>D77</f>
        <v>216338.10110699103</v>
      </c>
    </row>
    <row r="78" spans="1:11" ht="12.75" customHeight="1" x14ac:dyDescent="0.2">
      <c r="A78" s="574" t="s">
        <v>1270</v>
      </c>
      <c r="B78" s="169"/>
      <c r="C78" s="748"/>
      <c r="D78" s="753"/>
      <c r="E78" s="733"/>
      <c r="F78" s="733">
        <v>293512.07000000012</v>
      </c>
      <c r="G78" s="733">
        <v>900103.31999999983</v>
      </c>
      <c r="H78" s="733"/>
      <c r="I78" s="44">
        <f t="shared" si="1"/>
        <v>-900103.31999999983</v>
      </c>
      <c r="J78" s="124" t="e">
        <f t="shared" si="2"/>
        <v>#DIV/0!</v>
      </c>
      <c r="K78" s="735"/>
    </row>
    <row r="79" spans="1:11" ht="12.75" customHeight="1" x14ac:dyDescent="0.2">
      <c r="A79" s="574" t="s">
        <v>1271</v>
      </c>
      <c r="B79" s="169"/>
      <c r="C79" s="748"/>
      <c r="D79" s="753"/>
      <c r="E79" s="733"/>
      <c r="F79" s="733">
        <v>41098.75</v>
      </c>
      <c r="G79" s="733">
        <v>126036.3</v>
      </c>
      <c r="H79" s="733"/>
      <c r="I79" s="44">
        <f t="shared" si="1"/>
        <v>-126036.3</v>
      </c>
      <c r="J79" s="124" t="e">
        <f t="shared" si="2"/>
        <v>#DIV/0!</v>
      </c>
      <c r="K79" s="735"/>
    </row>
    <row r="80" spans="1:11" ht="12.75" customHeight="1" x14ac:dyDescent="0.2">
      <c r="A80" s="574" t="s">
        <v>1272</v>
      </c>
      <c r="B80" s="169"/>
      <c r="C80" s="748"/>
      <c r="D80" s="753">
        <v>11576837.362840936</v>
      </c>
      <c r="E80" s="733"/>
      <c r="F80" s="733">
        <v>57264.959999999992</v>
      </c>
      <c r="G80" s="733">
        <v>175612.47</v>
      </c>
      <c r="H80" s="733">
        <f t="shared" ref="H80:H81" si="15">D80/12*3</f>
        <v>2894209.3407102339</v>
      </c>
      <c r="I80" s="44">
        <f t="shared" si="1"/>
        <v>2718596.8707102337</v>
      </c>
      <c r="J80" s="124">
        <f t="shared" si="2"/>
        <v>0.93932281693317143</v>
      </c>
      <c r="K80" s="735">
        <f>D80</f>
        <v>11576837.362840936</v>
      </c>
    </row>
    <row r="81" spans="1:11" ht="12.75" customHeight="1" x14ac:dyDescent="0.2">
      <c r="A81" s="574" t="s">
        <v>1273</v>
      </c>
      <c r="B81" s="169"/>
      <c r="C81" s="748"/>
      <c r="D81" s="753">
        <v>4052316.8497124896</v>
      </c>
      <c r="E81" s="733"/>
      <c r="F81" s="733">
        <v>50853.289999999994</v>
      </c>
      <c r="G81" s="733">
        <v>155950.19999999998</v>
      </c>
      <c r="H81" s="733">
        <f t="shared" si="15"/>
        <v>1013079.2124281225</v>
      </c>
      <c r="I81" s="44">
        <f t="shared" si="1"/>
        <v>857129.01242812257</v>
      </c>
      <c r="J81" s="124">
        <f t="shared" si="2"/>
        <v>0.84606317246780494</v>
      </c>
      <c r="K81" s="735">
        <f>D81</f>
        <v>4052316.8497124896</v>
      </c>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v>31208.94</v>
      </c>
      <c r="G85" s="733">
        <v>95707.38</v>
      </c>
      <c r="H85" s="733"/>
      <c r="I85" s="44">
        <f t="shared" si="1"/>
        <v>-95707.38</v>
      </c>
      <c r="J85" s="124" t="e">
        <f t="shared" si="2"/>
        <v>#DIV/0!</v>
      </c>
      <c r="K85" s="735"/>
    </row>
    <row r="86" spans="1:11" ht="12.75" customHeight="1" x14ac:dyDescent="0.2">
      <c r="A86" s="574" t="s">
        <v>553</v>
      </c>
      <c r="B86" s="169"/>
      <c r="C86" s="748"/>
      <c r="D86" s="753">
        <v>5202994.7779857824</v>
      </c>
      <c r="E86" s="733"/>
      <c r="F86" s="733">
        <v>232890.14</v>
      </c>
      <c r="G86" s="733">
        <v>690070.77</v>
      </c>
      <c r="H86" s="733">
        <f>D86/12*3</f>
        <v>1300748.6944964456</v>
      </c>
      <c r="I86" s="44">
        <f t="shared" si="1"/>
        <v>610677.92449644557</v>
      </c>
      <c r="J86" s="124">
        <f t="shared" si="2"/>
        <v>0.46948186615928544</v>
      </c>
      <c r="K86" s="735">
        <f>D86</f>
        <v>5202994.7779857824</v>
      </c>
    </row>
    <row r="87" spans="1:11" ht="12.75" customHeight="1" x14ac:dyDescent="0.2">
      <c r="A87" s="574" t="s">
        <v>1277</v>
      </c>
      <c r="B87" s="169"/>
      <c r="C87" s="748"/>
      <c r="D87" s="753"/>
      <c r="E87" s="733"/>
      <c r="F87" s="733">
        <v>36707.550000000003</v>
      </c>
      <c r="G87" s="733">
        <v>112569.96</v>
      </c>
      <c r="H87" s="733"/>
      <c r="I87" s="44">
        <f t="shared" si="1"/>
        <v>-112569.96</v>
      </c>
      <c r="J87" s="124" t="e">
        <f t="shared" si="2"/>
        <v>#DIV/0!</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v>697094.75001482351</v>
      </c>
      <c r="E89" s="733"/>
      <c r="F89" s="733"/>
      <c r="G89" s="733"/>
      <c r="H89" s="733">
        <f>D89/12*3</f>
        <v>174273.68750370588</v>
      </c>
      <c r="I89" s="44">
        <f t="shared" si="1"/>
        <v>174273.68750370588</v>
      </c>
      <c r="J89" s="124">
        <f t="shared" si="2"/>
        <v>1</v>
      </c>
      <c r="K89" s="735">
        <f>D89</f>
        <v>697094.75001482351</v>
      </c>
    </row>
    <row r="90" spans="1:11" ht="12.75" customHeight="1" x14ac:dyDescent="0.2">
      <c r="A90" s="574" t="s">
        <v>1279</v>
      </c>
      <c r="B90" s="169"/>
      <c r="C90" s="748"/>
      <c r="D90" s="753"/>
      <c r="E90" s="733"/>
      <c r="F90" s="733">
        <v>7900.55</v>
      </c>
      <c r="G90" s="733">
        <v>24228.34</v>
      </c>
      <c r="H90" s="733"/>
      <c r="I90" s="44">
        <f t="shared" si="1"/>
        <v>-24228.34</v>
      </c>
      <c r="J90" s="124" t="e">
        <f t="shared" si="2"/>
        <v>#DIV/0!</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v>467382.76213431195</v>
      </c>
      <c r="E92" s="733"/>
      <c r="F92" s="733">
        <v>85164.25</v>
      </c>
      <c r="G92" s="733">
        <v>261170.31</v>
      </c>
      <c r="H92" s="733">
        <f>D92/12*3</f>
        <v>116845.69053357799</v>
      </c>
      <c r="I92" s="44">
        <f t="shared" si="1"/>
        <v>-144324.61946642201</v>
      </c>
      <c r="J92" s="124">
        <f t="shared" si="2"/>
        <v>-1.2351728061801936</v>
      </c>
      <c r="K92" s="735">
        <f>D92</f>
        <v>467382.76213431195</v>
      </c>
    </row>
    <row r="93" spans="1:11" ht="12.75" customHeight="1" x14ac:dyDescent="0.2">
      <c r="A93" s="574" t="s">
        <v>441</v>
      </c>
      <c r="B93" s="169"/>
      <c r="C93" s="748"/>
      <c r="D93" s="753"/>
      <c r="E93" s="733"/>
      <c r="F93" s="733">
        <v>472697.24</v>
      </c>
      <c r="G93" s="733">
        <v>1449604.97</v>
      </c>
      <c r="H93" s="733"/>
      <c r="I93" s="44">
        <f t="shared" si="1"/>
        <v>-1449604.97</v>
      </c>
      <c r="J93" s="124" t="e">
        <f t="shared" si="2"/>
        <v>#DIV/0!</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v>54343.66</v>
      </c>
      <c r="G96" s="733">
        <v>166653.85</v>
      </c>
      <c r="H96" s="733"/>
      <c r="I96" s="44">
        <f t="shared" si="1"/>
        <v>-166653.85</v>
      </c>
      <c r="J96" s="124" t="e">
        <f t="shared" si="2"/>
        <v>#DIV/0!</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6">SUM(C100:C102)</f>
        <v>0</v>
      </c>
      <c r="D99" s="649">
        <f t="shared" si="16"/>
        <v>16117247.124831293</v>
      </c>
      <c r="E99" s="408">
        <f t="shared" si="16"/>
        <v>0</v>
      </c>
      <c r="F99" s="408">
        <f t="shared" si="16"/>
        <v>1103181.08</v>
      </c>
      <c r="G99" s="408">
        <f t="shared" si="16"/>
        <v>3383088.9099999992</v>
      </c>
      <c r="H99" s="408">
        <f t="shared" si="16"/>
        <v>4029311.7812078232</v>
      </c>
      <c r="I99" s="258">
        <f t="shared" si="1"/>
        <v>646222.87120782398</v>
      </c>
      <c r="J99" s="575">
        <f t="shared" si="2"/>
        <v>0.16038045857402297</v>
      </c>
      <c r="K99" s="642">
        <f>SUM(K100:K102)</f>
        <v>16117247.124831293</v>
      </c>
    </row>
    <row r="100" spans="1:11" ht="12.75" customHeight="1" x14ac:dyDescent="0.2">
      <c r="A100" s="574" t="s">
        <v>1286</v>
      </c>
      <c r="B100" s="169"/>
      <c r="C100" s="748"/>
      <c r="D100" s="753">
        <v>43464.979285039968</v>
      </c>
      <c r="E100" s="733"/>
      <c r="F100" s="733"/>
      <c r="G100" s="733"/>
      <c r="H100" s="733">
        <f t="shared" ref="H100:H102" si="17">D100/12*3</f>
        <v>10866.244821259992</v>
      </c>
      <c r="I100" s="44">
        <f t="shared" si="1"/>
        <v>10866.244821259992</v>
      </c>
      <c r="J100" s="124">
        <f t="shared" si="2"/>
        <v>1</v>
      </c>
      <c r="K100" s="735">
        <f>D100</f>
        <v>43464.979285039968</v>
      </c>
    </row>
    <row r="101" spans="1:11" ht="12.75" customHeight="1" x14ac:dyDescent="0.2">
      <c r="A101" s="574" t="s">
        <v>1287</v>
      </c>
      <c r="B101" s="169"/>
      <c r="C101" s="748"/>
      <c r="D101" s="753">
        <v>8669487.8244611993</v>
      </c>
      <c r="E101" s="733"/>
      <c r="F101" s="733">
        <v>1103181.08</v>
      </c>
      <c r="G101" s="733">
        <v>3383088.9099999992</v>
      </c>
      <c r="H101" s="733">
        <f t="shared" si="17"/>
        <v>2167371.9561152998</v>
      </c>
      <c r="I101" s="44">
        <f>H101-G101</f>
        <v>-1215716.9538846994</v>
      </c>
      <c r="J101" s="124">
        <f>IF(I101=0,"",I101/H101)</f>
        <v>-0.56091754368903801</v>
      </c>
      <c r="K101" s="735">
        <f>D101</f>
        <v>8669487.8244611993</v>
      </c>
    </row>
    <row r="102" spans="1:11" ht="12.75" customHeight="1" x14ac:dyDescent="0.2">
      <c r="A102" s="574" t="s">
        <v>1219</v>
      </c>
      <c r="B102" s="169"/>
      <c r="C102" s="748"/>
      <c r="D102" s="753">
        <v>7404294.3210850535</v>
      </c>
      <c r="E102" s="733"/>
      <c r="F102" s="733"/>
      <c r="G102" s="733"/>
      <c r="H102" s="733">
        <f t="shared" si="17"/>
        <v>1851073.5802712634</v>
      </c>
      <c r="I102" s="44">
        <f t="shared" si="1"/>
        <v>1851073.5802712634</v>
      </c>
      <c r="J102" s="124">
        <f t="shared" si="2"/>
        <v>1</v>
      </c>
      <c r="K102" s="735">
        <f>D102</f>
        <v>7404294.3210850535</v>
      </c>
    </row>
    <row r="103" spans="1:11" ht="12.75" customHeight="1" x14ac:dyDescent="0.2">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22">+C118+C130</f>
        <v>0</v>
      </c>
      <c r="D117" s="577">
        <f t="shared" si="22"/>
        <v>163023969.56765977</v>
      </c>
      <c r="E117" s="578">
        <f t="shared" si="22"/>
        <v>0</v>
      </c>
      <c r="F117" s="578">
        <f t="shared" si="22"/>
        <v>2134561.1999999988</v>
      </c>
      <c r="G117" s="578">
        <f t="shared" si="22"/>
        <v>6546188.8899999997</v>
      </c>
      <c r="H117" s="578">
        <f t="shared" si="22"/>
        <v>40755992.391914941</v>
      </c>
      <c r="I117" s="578">
        <f t="shared" si="1"/>
        <v>34209803.501914941</v>
      </c>
      <c r="J117" s="579">
        <f t="shared" si="2"/>
        <v>0.83938094729601986</v>
      </c>
      <c r="K117" s="580">
        <f>+K118+K130</f>
        <v>163023969.56765977</v>
      </c>
    </row>
    <row r="118" spans="1:11" ht="12.75" customHeight="1" x14ac:dyDescent="0.2">
      <c r="A118" s="518" t="s">
        <v>1298</v>
      </c>
      <c r="B118" s="169"/>
      <c r="C118" s="648">
        <f t="shared" ref="C118:H118" si="23">SUM(C119:C129)</f>
        <v>0</v>
      </c>
      <c r="D118" s="649">
        <f t="shared" si="23"/>
        <v>163023969.56765977</v>
      </c>
      <c r="E118" s="408">
        <f t="shared" si="23"/>
        <v>0</v>
      </c>
      <c r="F118" s="408">
        <f t="shared" si="23"/>
        <v>2131660.439999999</v>
      </c>
      <c r="G118" s="408">
        <f t="shared" si="23"/>
        <v>6537293.1799999997</v>
      </c>
      <c r="H118" s="408">
        <f t="shared" si="23"/>
        <v>40755992.391914941</v>
      </c>
      <c r="I118" s="258">
        <f t="shared" si="1"/>
        <v>34218699.211914942</v>
      </c>
      <c r="J118" s="575">
        <f t="shared" si="2"/>
        <v>0.83959921483112143</v>
      </c>
      <c r="K118" s="642">
        <f>SUM(K119:K129)</f>
        <v>163023969.56765977</v>
      </c>
    </row>
    <row r="119" spans="1:11" ht="12.75" customHeight="1" x14ac:dyDescent="0.2">
      <c r="A119" s="574" t="s">
        <v>1299</v>
      </c>
      <c r="B119" s="169"/>
      <c r="C119" s="748"/>
      <c r="D119" s="753">
        <v>108029891.92018634</v>
      </c>
      <c r="E119" s="733"/>
      <c r="F119" s="733">
        <v>2063535.8799999992</v>
      </c>
      <c r="G119" s="733">
        <v>6328377.8599999994</v>
      </c>
      <c r="H119" s="733">
        <f>D119/12*3</f>
        <v>27007472.980046585</v>
      </c>
      <c r="I119" s="44">
        <f t="shared" si="1"/>
        <v>20679095.120046586</v>
      </c>
      <c r="J119" s="124">
        <f t="shared" si="2"/>
        <v>0.76568048907517283</v>
      </c>
      <c r="K119" s="735">
        <f>D119</f>
        <v>108029891.92018634</v>
      </c>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v>1728823.5775516906</v>
      </c>
      <c r="E122" s="733"/>
      <c r="F122" s="733">
        <v>68124.56</v>
      </c>
      <c r="G122" s="733">
        <v>208915.31999999995</v>
      </c>
      <c r="H122" s="733">
        <f>D122/12*3</f>
        <v>432205.89438792266</v>
      </c>
      <c r="I122" s="44">
        <f t="shared" si="1"/>
        <v>223290.57438792271</v>
      </c>
      <c r="J122" s="124">
        <f t="shared" si="2"/>
        <v>0.51663009988362207</v>
      </c>
      <c r="K122" s="735">
        <f>D122</f>
        <v>1728823.5775516906</v>
      </c>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v>53265254.069921724</v>
      </c>
      <c r="E129" s="733"/>
      <c r="F129" s="733"/>
      <c r="G129" s="733"/>
      <c r="H129" s="733">
        <f>D129/12*3</f>
        <v>13316313.517480433</v>
      </c>
      <c r="I129" s="44">
        <f t="shared" si="1"/>
        <v>13316313.517480433</v>
      </c>
      <c r="J129" s="124">
        <f t="shared" si="2"/>
        <v>1</v>
      </c>
      <c r="K129" s="735">
        <f>D129</f>
        <v>53265254.069921724</v>
      </c>
    </row>
    <row r="130" spans="1:11" ht="12.75" customHeight="1" x14ac:dyDescent="0.2">
      <c r="A130" s="518" t="s">
        <v>711</v>
      </c>
      <c r="B130" s="169"/>
      <c r="C130" s="648">
        <f t="shared" ref="C130:H130" si="24">SUM(C131:C133)</f>
        <v>0</v>
      </c>
      <c r="D130" s="649">
        <f t="shared" si="24"/>
        <v>0</v>
      </c>
      <c r="E130" s="408">
        <f t="shared" si="24"/>
        <v>0</v>
      </c>
      <c r="F130" s="408">
        <f t="shared" si="24"/>
        <v>2900.76</v>
      </c>
      <c r="G130" s="408">
        <f t="shared" si="24"/>
        <v>8895.7099999999991</v>
      </c>
      <c r="H130" s="408">
        <f t="shared" si="24"/>
        <v>0</v>
      </c>
      <c r="I130" s="258">
        <f t="shared" si="1"/>
        <v>-8895.7099999999991</v>
      </c>
      <c r="J130" s="575" t="e">
        <f t="shared" si="2"/>
        <v>#DIV/0!</v>
      </c>
      <c r="K130" s="642">
        <f>SUM(K131:K133)</f>
        <v>0</v>
      </c>
    </row>
    <row r="131" spans="1:11" ht="12.75" customHeight="1" x14ac:dyDescent="0.2">
      <c r="A131" s="574" t="s">
        <v>1309</v>
      </c>
      <c r="B131" s="169"/>
      <c r="C131" s="748"/>
      <c r="D131" s="753"/>
      <c r="E131" s="733"/>
      <c r="F131" s="733">
        <v>2900.76</v>
      </c>
      <c r="G131" s="733">
        <v>8895.7099999999991</v>
      </c>
      <c r="H131" s="733"/>
      <c r="I131" s="44">
        <f t="shared" si="1"/>
        <v>-8895.7099999999991</v>
      </c>
      <c r="J131" s="124" t="e">
        <f t="shared" si="2"/>
        <v>#DIV/0!</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6">IF(I137=0,"",I137/H137)</f>
        <v/>
      </c>
      <c r="K137" s="144"/>
    </row>
    <row r="138" spans="1:11" s="100" customFormat="1" ht="12.75" customHeight="1" x14ac:dyDescent="0.2">
      <c r="A138" s="549" t="s">
        <v>1312</v>
      </c>
      <c r="B138" s="171"/>
      <c r="C138" s="940">
        <f t="shared" ref="C138:H138" si="27">SUM(C139:C140)</f>
        <v>0</v>
      </c>
      <c r="D138" s="941">
        <f t="shared" si="27"/>
        <v>84895040.004187733</v>
      </c>
      <c r="E138" s="942">
        <f t="shared" si="27"/>
        <v>0</v>
      </c>
      <c r="F138" s="942">
        <f t="shared" si="27"/>
        <v>860868.22</v>
      </c>
      <c r="G138" s="942">
        <f t="shared" si="27"/>
        <v>2639995.9200000004</v>
      </c>
      <c r="H138" s="942">
        <f t="shared" si="27"/>
        <v>21223760.001046933</v>
      </c>
      <c r="I138" s="942">
        <f t="shared" ref="I138:I146" si="28">H138-G138</f>
        <v>18583764.081046931</v>
      </c>
      <c r="J138" s="324">
        <f t="shared" si="26"/>
        <v>0.87561129979467467</v>
      </c>
      <c r="K138" s="943">
        <f>SUM(K139:K140)</f>
        <v>84895040.004187733</v>
      </c>
    </row>
    <row r="139" spans="1:11" ht="12.75" customHeight="1" x14ac:dyDescent="0.2">
      <c r="A139" s="517" t="s">
        <v>1313</v>
      </c>
      <c r="B139" s="169"/>
      <c r="C139" s="748"/>
      <c r="D139" s="753"/>
      <c r="E139" s="733"/>
      <c r="F139" s="733"/>
      <c r="G139" s="733"/>
      <c r="H139" s="733"/>
      <c r="I139" s="44">
        <f t="shared" si="28"/>
        <v>0</v>
      </c>
      <c r="J139" s="124" t="str">
        <f t="shared" si="26"/>
        <v/>
      </c>
      <c r="K139" s="735"/>
    </row>
    <row r="140" spans="1:11" ht="12.75" customHeight="1" x14ac:dyDescent="0.2">
      <c r="A140" s="517" t="s">
        <v>1314</v>
      </c>
      <c r="B140" s="169"/>
      <c r="C140" s="648">
        <f t="shared" ref="C140:H140" si="29">SUM(C141:C146)</f>
        <v>0</v>
      </c>
      <c r="D140" s="649">
        <f t="shared" si="29"/>
        <v>84895040.004187733</v>
      </c>
      <c r="E140" s="408">
        <f t="shared" si="29"/>
        <v>0</v>
      </c>
      <c r="F140" s="408">
        <f t="shared" si="29"/>
        <v>860868.22</v>
      </c>
      <c r="G140" s="408">
        <f t="shared" si="29"/>
        <v>2639995.9200000004</v>
      </c>
      <c r="H140" s="408">
        <f t="shared" si="29"/>
        <v>21223760.001046933</v>
      </c>
      <c r="I140" s="258">
        <f t="shared" si="28"/>
        <v>18583764.081046931</v>
      </c>
      <c r="J140" s="575">
        <f t="shared" si="26"/>
        <v>0.87561129979467467</v>
      </c>
      <c r="K140" s="642">
        <f>SUM(K141:K146)</f>
        <v>84895040.004187733</v>
      </c>
    </row>
    <row r="141" spans="1:11" ht="12.75" customHeight="1" x14ac:dyDescent="0.2">
      <c r="A141" s="574" t="s">
        <v>1315</v>
      </c>
      <c r="B141" s="169"/>
      <c r="C141" s="748"/>
      <c r="D141" s="753"/>
      <c r="E141" s="733"/>
      <c r="F141" s="733"/>
      <c r="G141" s="733"/>
      <c r="H141" s="733"/>
      <c r="I141" s="44">
        <f t="shared" si="28"/>
        <v>0</v>
      </c>
      <c r="J141" s="124" t="str">
        <f t="shared" si="26"/>
        <v/>
      </c>
      <c r="K141" s="735"/>
    </row>
    <row r="142" spans="1:11" ht="12.75" customHeight="1" x14ac:dyDescent="0.2">
      <c r="A142" s="574" t="s">
        <v>1316</v>
      </c>
      <c r="B142" s="169"/>
      <c r="C142" s="748"/>
      <c r="D142" s="753"/>
      <c r="E142" s="733"/>
      <c r="F142" s="733"/>
      <c r="G142" s="733"/>
      <c r="H142" s="733"/>
      <c r="I142" s="44">
        <f t="shared" si="28"/>
        <v>0</v>
      </c>
      <c r="J142" s="124" t="str">
        <f t="shared" si="26"/>
        <v/>
      </c>
      <c r="K142" s="735"/>
    </row>
    <row r="143" spans="1:11" ht="12.75" customHeight="1" x14ac:dyDescent="0.2">
      <c r="A143" s="574" t="s">
        <v>1317</v>
      </c>
      <c r="B143" s="169"/>
      <c r="C143" s="748"/>
      <c r="D143" s="753"/>
      <c r="E143" s="733"/>
      <c r="F143" s="733"/>
      <c r="G143" s="733"/>
      <c r="H143" s="733"/>
      <c r="I143" s="44">
        <f t="shared" si="28"/>
        <v>0</v>
      </c>
      <c r="J143" s="124" t="str">
        <f t="shared" si="26"/>
        <v/>
      </c>
      <c r="K143" s="735"/>
    </row>
    <row r="144" spans="1:11" ht="12.75" customHeight="1" x14ac:dyDescent="0.2">
      <c r="A144" s="574" t="s">
        <v>1318</v>
      </c>
      <c r="B144" s="169"/>
      <c r="C144" s="748"/>
      <c r="D144" s="753">
        <v>83121985.914557993</v>
      </c>
      <c r="E144" s="733"/>
      <c r="F144" s="733">
        <v>860868.22</v>
      </c>
      <c r="G144" s="733">
        <v>2639995.9200000004</v>
      </c>
      <c r="H144" s="733">
        <f t="shared" ref="H144:H145" si="30">D144/12*3</f>
        <v>20780496.478639498</v>
      </c>
      <c r="I144" s="44">
        <f t="shared" si="28"/>
        <v>18140500.558639497</v>
      </c>
      <c r="J144" s="124">
        <f t="shared" si="26"/>
        <v>0.87295799584414724</v>
      </c>
      <c r="K144" s="735">
        <f>D144</f>
        <v>83121985.914557993</v>
      </c>
    </row>
    <row r="145" spans="1:12" ht="12.75" customHeight="1" x14ac:dyDescent="0.2">
      <c r="A145" s="574" t="s">
        <v>1319</v>
      </c>
      <c r="B145" s="169"/>
      <c r="C145" s="748"/>
      <c r="D145" s="753">
        <v>1773054.0896297402</v>
      </c>
      <c r="E145" s="733"/>
      <c r="F145" s="733"/>
      <c r="G145" s="733"/>
      <c r="H145" s="733">
        <f t="shared" si="30"/>
        <v>443263.52240743511</v>
      </c>
      <c r="I145" s="44">
        <f t="shared" si="28"/>
        <v>443263.52240743511</v>
      </c>
      <c r="J145" s="124">
        <f t="shared" si="26"/>
        <v>1</v>
      </c>
      <c r="K145" s="735">
        <f>D145</f>
        <v>1773054.0896297402</v>
      </c>
    </row>
    <row r="146" spans="1:12" ht="12.75" customHeight="1" x14ac:dyDescent="0.2">
      <c r="A146" s="574" t="s">
        <v>1320</v>
      </c>
      <c r="B146" s="169"/>
      <c r="C146" s="748"/>
      <c r="D146" s="753"/>
      <c r="E146" s="733"/>
      <c r="F146" s="733"/>
      <c r="G146" s="733"/>
      <c r="H146" s="733"/>
      <c r="I146" s="44">
        <f t="shared" si="28"/>
        <v>0</v>
      </c>
      <c r="J146" s="124" t="str">
        <f t="shared" si="26"/>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31">SUM(C149:C149)</f>
        <v>0</v>
      </c>
      <c r="D148" s="577">
        <f t="shared" si="31"/>
        <v>65065902.198033363</v>
      </c>
      <c r="E148" s="578">
        <f t="shared" si="31"/>
        <v>0</v>
      </c>
      <c r="F148" s="578">
        <f t="shared" si="31"/>
        <v>873882.87999999989</v>
      </c>
      <c r="G148" s="578">
        <f t="shared" si="31"/>
        <v>2487436.6999999997</v>
      </c>
      <c r="H148" s="578">
        <f t="shared" si="31"/>
        <v>16266475.549508341</v>
      </c>
      <c r="I148" s="578">
        <f>H148-G148</f>
        <v>13779038.849508341</v>
      </c>
      <c r="J148" s="324">
        <f>IF(I148=0,"",I148/H148)</f>
        <v>0.84708201279193618</v>
      </c>
      <c r="K148" s="580">
        <f>SUM(K149)</f>
        <v>65065902.198033363</v>
      </c>
    </row>
    <row r="149" spans="1:12" ht="12.75" customHeight="1" x14ac:dyDescent="0.2">
      <c r="A149" s="518" t="s">
        <v>1321</v>
      </c>
      <c r="B149" s="169"/>
      <c r="C149" s="748"/>
      <c r="D149" s="753">
        <v>65065902.198033363</v>
      </c>
      <c r="E149" s="733"/>
      <c r="F149" s="733">
        <v>873882.87999999989</v>
      </c>
      <c r="G149" s="733">
        <v>2487436.6999999997</v>
      </c>
      <c r="H149" s="733">
        <f>D149/12*3</f>
        <v>16266475.549508341</v>
      </c>
      <c r="I149" s="44">
        <f>H149-G149</f>
        <v>13779038.849508341</v>
      </c>
      <c r="J149" s="124">
        <f>IF(I149=0,"",I149/H149)</f>
        <v>0.84708201279193618</v>
      </c>
      <c r="K149" s="735">
        <f>D149</f>
        <v>65065902.198033363</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32">SUM(C152:C152)</f>
        <v>0</v>
      </c>
      <c r="D151" s="577">
        <f t="shared" si="32"/>
        <v>27965528.287261501</v>
      </c>
      <c r="E151" s="578">
        <f t="shared" si="32"/>
        <v>0</v>
      </c>
      <c r="F151" s="578">
        <f t="shared" si="32"/>
        <v>134444.47999999998</v>
      </c>
      <c r="G151" s="578">
        <f t="shared" si="32"/>
        <v>412274.98</v>
      </c>
      <c r="H151" s="578">
        <f t="shared" si="32"/>
        <v>6991382.0718153752</v>
      </c>
      <c r="I151" s="578">
        <f>H151-G151</f>
        <v>6579107.0918153748</v>
      </c>
      <c r="J151" s="324">
        <f>IF(I151=0,"",I151/H151)</f>
        <v>0.9410309755975117</v>
      </c>
      <c r="K151" s="580">
        <f>SUM(K152)</f>
        <v>27965528.287261501</v>
      </c>
    </row>
    <row r="152" spans="1:12" ht="12.75" customHeight="1" x14ac:dyDescent="0.2">
      <c r="A152" s="518" t="s">
        <v>1322</v>
      </c>
      <c r="B152" s="169"/>
      <c r="C152" s="748"/>
      <c r="D152" s="753">
        <v>27965528.287261501</v>
      </c>
      <c r="E152" s="733"/>
      <c r="F152" s="733">
        <v>134444.47999999998</v>
      </c>
      <c r="G152" s="733">
        <v>412274.98</v>
      </c>
      <c r="H152" s="733">
        <f>D152/12*3</f>
        <v>6991382.0718153752</v>
      </c>
      <c r="I152" s="44">
        <f>H152-G152</f>
        <v>6579107.0918153748</v>
      </c>
      <c r="J152" s="124">
        <f>IF(I152=0,"",I152/H152)</f>
        <v>0.9410309755975117</v>
      </c>
      <c r="K152" s="735">
        <f>D152</f>
        <v>27965528.287261501</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33">SUM(C155:C155)</f>
        <v>0</v>
      </c>
      <c r="D154" s="577">
        <f t="shared" si="33"/>
        <v>7418705.5248501254</v>
      </c>
      <c r="E154" s="578">
        <f t="shared" si="33"/>
        <v>0</v>
      </c>
      <c r="F154" s="578">
        <f t="shared" si="33"/>
        <v>727910.20999999973</v>
      </c>
      <c r="G154" s="578">
        <f t="shared" si="33"/>
        <v>2232322.6199999987</v>
      </c>
      <c r="H154" s="578">
        <f t="shared" si="33"/>
        <v>1854676.3812125311</v>
      </c>
      <c r="I154" s="578">
        <f>H154-G154</f>
        <v>-377646.23878746759</v>
      </c>
      <c r="J154" s="324">
        <f>IF(I154=0,"",I154/H154)</f>
        <v>-0.20361840082342234</v>
      </c>
      <c r="K154" s="580">
        <f>SUM(K155)</f>
        <v>7418705.5248501254</v>
      </c>
    </row>
    <row r="155" spans="1:12" ht="12.75" customHeight="1" x14ac:dyDescent="0.2">
      <c r="A155" s="518" t="s">
        <v>1323</v>
      </c>
      <c r="B155" s="169"/>
      <c r="C155" s="748"/>
      <c r="D155" s="753">
        <v>7418705.5248501254</v>
      </c>
      <c r="E155" s="733"/>
      <c r="F155" s="733">
        <v>727910.20999999973</v>
      </c>
      <c r="G155" s="733">
        <v>2232322.6199999987</v>
      </c>
      <c r="H155" s="733">
        <f>D155/12*3</f>
        <v>1854676.3812125311</v>
      </c>
      <c r="I155" s="44">
        <f>H155-G155</f>
        <v>-377646.23878746759</v>
      </c>
      <c r="J155" s="124">
        <f>IF(I155=0,"",I155/H155)</f>
        <v>-0.20361840082342234</v>
      </c>
      <c r="K155" s="735">
        <f>D155</f>
        <v>7418705.5248501254</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4">SUM(C158:C158)</f>
        <v>0</v>
      </c>
      <c r="D157" s="577">
        <f t="shared" si="34"/>
        <v>106660.31115601346</v>
      </c>
      <c r="E157" s="578">
        <f t="shared" si="34"/>
        <v>0</v>
      </c>
      <c r="F157" s="578">
        <f t="shared" si="34"/>
        <v>1174148.25</v>
      </c>
      <c r="G157" s="578">
        <f t="shared" si="34"/>
        <v>3583032.2500000009</v>
      </c>
      <c r="H157" s="578">
        <f t="shared" si="34"/>
        <v>26665.077789003364</v>
      </c>
      <c r="I157" s="578">
        <f>H157-G157</f>
        <v>-3556367.1722109974</v>
      </c>
      <c r="J157" s="324">
        <f>IF(I157=0,"",I157/H157)</f>
        <v>-133.37171563315812</v>
      </c>
      <c r="K157" s="580">
        <f>SUM(K158)</f>
        <v>106660.31115601346</v>
      </c>
    </row>
    <row r="158" spans="1:12" ht="12.75" customHeight="1" x14ac:dyDescent="0.2">
      <c r="A158" s="518" t="s">
        <v>1324</v>
      </c>
      <c r="B158" s="169"/>
      <c r="C158" s="748"/>
      <c r="D158" s="753">
        <v>106660.31115601346</v>
      </c>
      <c r="E158" s="733"/>
      <c r="F158" s="733">
        <v>1174148.25</v>
      </c>
      <c r="G158" s="733">
        <v>3583032.2500000009</v>
      </c>
      <c r="H158" s="733">
        <f>D158/12*3</f>
        <v>26665.077789003364</v>
      </c>
      <c r="I158" s="44">
        <f>H158-G158</f>
        <v>-3556367.1722109974</v>
      </c>
      <c r="J158" s="124">
        <f>IF(I158=0,"",I158/H158)</f>
        <v>-133.37171563315812</v>
      </c>
      <c r="K158" s="735">
        <f>D158</f>
        <v>106660.31115601346</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1075</v>
      </c>
      <c r="B166" s="236">
        <v>1</v>
      </c>
      <c r="C166" s="112">
        <f t="shared" ref="C166:H166" si="37">C7+C75+C103+C110+C117+C135+C138+C148+C151+C154+C157+C160+C163</f>
        <v>0</v>
      </c>
      <c r="D166" s="271">
        <f t="shared" si="37"/>
        <v>488991448.27473986</v>
      </c>
      <c r="E166" s="55">
        <f t="shared" si="37"/>
        <v>0</v>
      </c>
      <c r="F166" s="55">
        <f t="shared" si="37"/>
        <v>34060965.560000002</v>
      </c>
      <c r="G166" s="55">
        <f t="shared" si="37"/>
        <v>106245839.89000002</v>
      </c>
      <c r="H166" s="55">
        <f t="shared" si="37"/>
        <v>122247862.06868497</v>
      </c>
      <c r="I166" s="55">
        <f t="shared" si="1"/>
        <v>16002022.17868495</v>
      </c>
      <c r="J166" s="290">
        <f t="shared" si="2"/>
        <v>0.13089817611447646</v>
      </c>
      <c r="K166" s="235">
        <f>K7+K75+K103+K110+K117+K135+K138+K148+K151+K154+K157+K160+K163</f>
        <v>488991448.27473986</v>
      </c>
    </row>
    <row r="167" spans="1:11" ht="12.75" customHeight="1" x14ac:dyDescent="0.2">
      <c r="A167" s="703"/>
      <c r="B167" s="58"/>
      <c r="C167" s="62"/>
      <c r="D167" s="62"/>
      <c r="E167" s="62"/>
      <c r="F167" s="62"/>
      <c r="G167" s="62"/>
      <c r="H167" s="62"/>
      <c r="I167" s="62"/>
      <c r="J167" s="62"/>
      <c r="K167" s="62"/>
    </row>
    <row r="168" spans="1:11" ht="11.25" customHeight="1" x14ac:dyDescent="0.2">
      <c r="A168" s="703"/>
      <c r="B168" s="58"/>
      <c r="C168" s="62"/>
      <c r="D168" s="62"/>
      <c r="E168" s="62"/>
      <c r="F168" s="62"/>
      <c r="G168" s="62"/>
      <c r="H168" s="62"/>
      <c r="I168" s="62"/>
      <c r="J168" s="62"/>
      <c r="K168" s="62"/>
    </row>
    <row r="169" spans="1:11" ht="11.25" customHeight="1" x14ac:dyDescent="0.2">
      <c r="A169" s="703"/>
      <c r="B169" s="64"/>
      <c r="C169" s="135"/>
      <c r="D169" s="135"/>
      <c r="E169" s="135"/>
      <c r="F169" s="118"/>
      <c r="G169" s="118"/>
      <c r="H169" s="118"/>
      <c r="I169" s="118"/>
      <c r="J169" s="118"/>
      <c r="K169" s="118"/>
    </row>
    <row r="170" spans="1:11" ht="11.25" customHeight="1" x14ac:dyDescent="0.2">
      <c r="A170" s="703"/>
    </row>
    <row r="171" spans="1:11" ht="11.25" customHeight="1" x14ac:dyDescent="0.2">
      <c r="A171" s="703"/>
    </row>
    <row r="172" spans="1:11" ht="11.25" customHeight="1" x14ac:dyDescent="0.2">
      <c r="A172" s="703"/>
    </row>
    <row r="173" spans="1:11" ht="11.25" customHeight="1" x14ac:dyDescent="0.2">
      <c r="A173" s="887"/>
    </row>
    <row r="174" spans="1:11" ht="11.25" customHeight="1" x14ac:dyDescent="0.2">
      <c r="A174" s="887"/>
    </row>
    <row r="175" spans="1:11" ht="11.25" customHeight="1" x14ac:dyDescent="0.2">
      <c r="A175" s="887"/>
    </row>
    <row r="176" spans="1:11" ht="11.25" customHeight="1" x14ac:dyDescent="0.2">
      <c r="A176" s="887"/>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32" activePane="bottomRight" state="frozen"/>
      <selection pane="topRight"/>
      <selection pane="bottomLeft"/>
      <selection pane="bottomRight" activeCell="F40" sqref="F40:G4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"&amp;S71Se&amp; " - "&amp;Head57</f>
        <v>KZN225 Msunduzi - Supporting Table SC13e Monthly Budget Statement - capital expenditure on upgrading of existing assets by asset class - Q1 First Quarter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1327</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57031962.017634988</v>
      </c>
      <c r="E7" s="102">
        <f t="shared" si="0"/>
        <v>0</v>
      </c>
      <c r="F7" s="102">
        <f t="shared" si="0"/>
        <v>13798802.530000001</v>
      </c>
      <c r="G7" s="102">
        <f t="shared" si="0"/>
        <v>42927716.389999993</v>
      </c>
      <c r="H7" s="102">
        <f t="shared" si="0"/>
        <v>14257990.504408747</v>
      </c>
      <c r="I7" s="101">
        <f t="shared" ref="I7:I133" si="1">H7-G7</f>
        <v>-28669725.885591246</v>
      </c>
      <c r="J7" s="579">
        <f t="shared" ref="J7:J136" si="2">IF(I7=0,"",I7/H7)</f>
        <v>-2.0107830676928993</v>
      </c>
      <c r="K7" s="603">
        <f>K8+K13+K17+K27+K38+K45+K53+K63+K69</f>
        <v>57031962.017634988</v>
      </c>
    </row>
    <row r="8" spans="1:11" ht="12.75" customHeight="1" x14ac:dyDescent="0.2">
      <c r="A8" s="518" t="s">
        <v>1216</v>
      </c>
      <c r="B8" s="169"/>
      <c r="C8" s="677">
        <f t="shared" ref="C8:H8" si="3">SUM(C9:C12)</f>
        <v>0</v>
      </c>
      <c r="D8" s="609">
        <f t="shared" si="3"/>
        <v>31255314.729466628</v>
      </c>
      <c r="E8" s="608">
        <f t="shared" si="3"/>
        <v>0</v>
      </c>
      <c r="F8" s="608">
        <f t="shared" si="3"/>
        <v>10945367.01</v>
      </c>
      <c r="G8" s="608">
        <f t="shared" si="3"/>
        <v>26062882.16</v>
      </c>
      <c r="H8" s="608">
        <f t="shared" si="3"/>
        <v>7813828.6823666571</v>
      </c>
      <c r="I8" s="258">
        <f t="shared" si="1"/>
        <v>-18249053.477633342</v>
      </c>
      <c r="J8" s="575">
        <f t="shared" si="2"/>
        <v>-2.3354816466370312</v>
      </c>
      <c r="K8" s="610">
        <f>SUM(K9:K12)</f>
        <v>31255314.729466628</v>
      </c>
    </row>
    <row r="9" spans="1:11" ht="12.75" customHeight="1" x14ac:dyDescent="0.2">
      <c r="A9" s="574" t="s">
        <v>168</v>
      </c>
      <c r="B9" s="169"/>
      <c r="C9" s="748"/>
      <c r="D9" s="745">
        <v>31255314.729466628</v>
      </c>
      <c r="E9" s="733"/>
      <c r="F9" s="733">
        <v>10945367.01</v>
      </c>
      <c r="G9" s="733">
        <v>26062882.16</v>
      </c>
      <c r="H9" s="733">
        <f>D9/12*3</f>
        <v>7813828.6823666571</v>
      </c>
      <c r="I9" s="258">
        <f t="shared" si="1"/>
        <v>-18249053.477633342</v>
      </c>
      <c r="J9" s="575">
        <f t="shared" si="2"/>
        <v>-2.3354816466370312</v>
      </c>
      <c r="K9" s="735">
        <f>D9</f>
        <v>31255314.729466628</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16185479.849562876</v>
      </c>
      <c r="E17" s="408">
        <f t="shared" si="5"/>
        <v>0</v>
      </c>
      <c r="F17" s="408">
        <f t="shared" si="5"/>
        <v>0</v>
      </c>
      <c r="G17" s="408">
        <f t="shared" si="5"/>
        <v>0</v>
      </c>
      <c r="H17" s="408">
        <f t="shared" si="5"/>
        <v>4046369.962390719</v>
      </c>
      <c r="I17" s="258">
        <f t="shared" si="1"/>
        <v>4046369.962390719</v>
      </c>
      <c r="J17" s="575">
        <f t="shared" si="2"/>
        <v>1</v>
      </c>
      <c r="K17" s="642">
        <f>SUM(K18:K26)</f>
        <v>16185479.849562876</v>
      </c>
    </row>
    <row r="18" spans="1:11" ht="12.75" customHeight="1" x14ac:dyDescent="0.2">
      <c r="A18" s="574" t="s">
        <v>1225</v>
      </c>
      <c r="B18" s="169"/>
      <c r="C18" s="748"/>
      <c r="D18" s="745">
        <v>16185479.849562876</v>
      </c>
      <c r="E18" s="733"/>
      <c r="F18" s="733"/>
      <c r="G18" s="733"/>
      <c r="H18" s="733">
        <f>D18/12*3</f>
        <v>4046369.962390719</v>
      </c>
      <c r="I18" s="258">
        <f t="shared" si="1"/>
        <v>4046369.962390719</v>
      </c>
      <c r="J18" s="575">
        <f t="shared" si="2"/>
        <v>1</v>
      </c>
      <c r="K18" s="735">
        <f>D18</f>
        <v>16185479.849562876</v>
      </c>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5463210.4661875041</v>
      </c>
      <c r="E27" s="408">
        <f t="shared" si="6"/>
        <v>0</v>
      </c>
      <c r="F27" s="408">
        <f t="shared" si="6"/>
        <v>665544.79999999993</v>
      </c>
      <c r="G27" s="408">
        <f t="shared" si="6"/>
        <v>2384183.81</v>
      </c>
      <c r="H27" s="408">
        <f t="shared" si="6"/>
        <v>1365802.616546876</v>
      </c>
      <c r="I27" s="258">
        <f t="shared" si="1"/>
        <v>-1018381.193453124</v>
      </c>
      <c r="J27" s="575">
        <f t="shared" si="2"/>
        <v>-0.7456283807889249</v>
      </c>
      <c r="K27" s="642">
        <f>SUM(K28:K37)</f>
        <v>5463210.4661875041</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v>5463210.4661875041</v>
      </c>
      <c r="E30" s="733"/>
      <c r="F30" s="733">
        <v>665544.79999999993</v>
      </c>
      <c r="G30" s="733">
        <v>500838.3</v>
      </c>
      <c r="H30" s="733">
        <f>D30/12*3</f>
        <v>1365802.616546876</v>
      </c>
      <c r="I30" s="258">
        <f t="shared" si="1"/>
        <v>864964.31654687598</v>
      </c>
      <c r="J30" s="575">
        <f t="shared" si="2"/>
        <v>0.63330111252366994</v>
      </c>
      <c r="K30" s="735">
        <f>D30</f>
        <v>5463210.4661875041</v>
      </c>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v>1883345.51</v>
      </c>
      <c r="H34" s="733"/>
      <c r="I34" s="258">
        <f t="shared" si="1"/>
        <v>-1883345.51</v>
      </c>
      <c r="J34" s="575" t="e">
        <f t="shared" si="2"/>
        <v>#DIV/0!</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0</v>
      </c>
      <c r="E38" s="408">
        <f t="shared" si="7"/>
        <v>0</v>
      </c>
      <c r="F38" s="408">
        <f t="shared" si="7"/>
        <v>2187890.7199999997</v>
      </c>
      <c r="G38" s="408">
        <f t="shared" si="7"/>
        <v>12948642.77</v>
      </c>
      <c r="H38" s="408">
        <f t="shared" si="7"/>
        <v>0</v>
      </c>
      <c r="I38" s="258">
        <f t="shared" si="1"/>
        <v>-12948642.77</v>
      </c>
      <c r="J38" s="575" t="e">
        <f t="shared" si="2"/>
        <v>#DIV/0!</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v>2187890.7199999997</v>
      </c>
      <c r="G40" s="733">
        <v>9736466.4600000009</v>
      </c>
      <c r="H40" s="733"/>
      <c r="I40" s="258">
        <f t="shared" si="1"/>
        <v>-9736466.4600000009</v>
      </c>
      <c r="J40" s="575" t="e">
        <f t="shared" si="2"/>
        <v>#DIV/0!</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v>3212176.3099999996</v>
      </c>
      <c r="H43" s="733"/>
      <c r="I43" s="258">
        <f t="shared" si="1"/>
        <v>-3212176.3099999996</v>
      </c>
      <c r="J43" s="575" t="e">
        <f t="shared" si="2"/>
        <v>#DIV/0!</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4127956.9724179767</v>
      </c>
      <c r="E45" s="408">
        <f t="shared" si="8"/>
        <v>0</v>
      </c>
      <c r="F45" s="408">
        <f t="shared" si="8"/>
        <v>0</v>
      </c>
      <c r="G45" s="408">
        <f t="shared" si="8"/>
        <v>1532007.65</v>
      </c>
      <c r="H45" s="408">
        <f t="shared" si="8"/>
        <v>1031989.2431044942</v>
      </c>
      <c r="I45" s="258">
        <f t="shared" si="1"/>
        <v>-500018.40689550573</v>
      </c>
      <c r="J45" s="575">
        <f t="shared" si="2"/>
        <v>-0.48451901048049617</v>
      </c>
      <c r="K45" s="642">
        <f>SUM(K46:K52)</f>
        <v>4127956.9724179767</v>
      </c>
    </row>
    <row r="46" spans="1:11" ht="12.75" customHeight="1" x14ac:dyDescent="0.2">
      <c r="A46" s="574" t="s">
        <v>1249</v>
      </c>
      <c r="B46" s="169"/>
      <c r="C46" s="748"/>
      <c r="D46" s="745">
        <v>4127956.9724179767</v>
      </c>
      <c r="E46" s="733"/>
      <c r="F46" s="733"/>
      <c r="G46" s="733">
        <v>1532007.65</v>
      </c>
      <c r="H46" s="733">
        <f>D46/12*3</f>
        <v>1031989.2431044942</v>
      </c>
      <c r="I46" s="258">
        <f t="shared" si="1"/>
        <v>-500018.40689550573</v>
      </c>
      <c r="J46" s="575">
        <f t="shared" si="2"/>
        <v>-0.48451901048049617</v>
      </c>
      <c r="K46" s="735">
        <f>D46</f>
        <v>4127956.9724179767</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
      <c r="A77" s="574" t="s">
        <v>1269</v>
      </c>
      <c r="B77" s="169"/>
      <c r="C77" s="748"/>
      <c r="D77" s="753"/>
      <c r="E77" s="733"/>
      <c r="F77" s="733"/>
      <c r="G77" s="733"/>
      <c r="H77" s="733"/>
      <c r="I77" s="44">
        <f t="shared" si="1"/>
        <v>0</v>
      </c>
      <c r="J77" s="124" t="str">
        <f t="shared" si="2"/>
        <v/>
      </c>
      <c r="K77" s="735"/>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c r="E80" s="733"/>
      <c r="F80" s="733"/>
      <c r="G80" s="733"/>
      <c r="H80" s="733"/>
      <c r="I80" s="44">
        <f t="shared" si="1"/>
        <v>0</v>
      </c>
      <c r="J80" s="124" t="str">
        <f t="shared" si="2"/>
        <v/>
      </c>
      <c r="K80" s="735"/>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c r="E86" s="733"/>
      <c r="F86" s="733"/>
      <c r="G86" s="733"/>
      <c r="H86" s="733"/>
      <c r="I86" s="44">
        <f t="shared" si="1"/>
        <v>0</v>
      </c>
      <c r="J86" s="124" t="str">
        <f t="shared" si="2"/>
        <v/>
      </c>
      <c r="K86" s="735"/>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c r="E90" s="733"/>
      <c r="F90" s="733"/>
      <c r="G90" s="733"/>
      <c r="H90" s="733"/>
      <c r="I90" s="44">
        <f t="shared" si="1"/>
        <v>0</v>
      </c>
      <c r="J90" s="124" t="str">
        <f t="shared" si="2"/>
        <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c r="E93" s="733"/>
      <c r="F93" s="733"/>
      <c r="G93" s="733"/>
      <c r="H93" s="733"/>
      <c r="I93" s="44">
        <f t="shared" si="1"/>
        <v>0</v>
      </c>
      <c r="J93" s="124" t="str">
        <f t="shared" si="2"/>
        <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4066785.1172906831</v>
      </c>
      <c r="E103" s="99">
        <f t="shared" si="15"/>
        <v>0</v>
      </c>
      <c r="F103" s="99">
        <f t="shared" si="15"/>
        <v>0</v>
      </c>
      <c r="G103" s="99">
        <f t="shared" si="15"/>
        <v>-1082623.3999999999</v>
      </c>
      <c r="H103" s="99">
        <f t="shared" si="15"/>
        <v>1016696.2793226708</v>
      </c>
      <c r="I103" s="99">
        <f t="shared" si="1"/>
        <v>2099319.6793226707</v>
      </c>
      <c r="J103" s="324">
        <f t="shared" si="2"/>
        <v>2.0648444594694988</v>
      </c>
      <c r="K103" s="195">
        <f>SUM(K104:K108)</f>
        <v>4066785.1172906831</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v>4066785.1172906831</v>
      </c>
      <c r="E108" s="733"/>
      <c r="F108" s="733"/>
      <c r="G108" s="733">
        <v>-1082623.3999999999</v>
      </c>
      <c r="H108" s="733">
        <f>D108/12*3</f>
        <v>1016696.2793226708</v>
      </c>
      <c r="I108" s="44">
        <f t="shared" si="1"/>
        <v>2099319.6793226707</v>
      </c>
      <c r="J108" s="124">
        <f t="shared" si="2"/>
        <v>2.0648444594694988</v>
      </c>
      <c r="K108" s="735">
        <f>D108</f>
        <v>4066785.1172906831</v>
      </c>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
      <c r="A119" s="574" t="s">
        <v>1299</v>
      </c>
      <c r="B119" s="169"/>
      <c r="C119" s="748"/>
      <c r="D119" s="753"/>
      <c r="E119" s="733"/>
      <c r="F119" s="733"/>
      <c r="G119" s="733"/>
      <c r="H119" s="733"/>
      <c r="I119" s="44">
        <f t="shared" si="1"/>
        <v>0</v>
      </c>
      <c r="J119" s="124" t="str">
        <f t="shared" si="2"/>
        <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v>-97000</v>
      </c>
      <c r="H144" s="733"/>
      <c r="I144" s="44">
        <f t="shared" si="25"/>
        <v>97000</v>
      </c>
      <c r="J144" s="124" t="e">
        <f t="shared" si="23"/>
        <v>#DIV/0!</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172522.43577434224</v>
      </c>
      <c r="E148" s="578">
        <f t="shared" si="27"/>
        <v>0</v>
      </c>
      <c r="F148" s="578">
        <f t="shared" si="27"/>
        <v>0</v>
      </c>
      <c r="G148" s="578">
        <f t="shared" si="27"/>
        <v>0</v>
      </c>
      <c r="H148" s="578">
        <f t="shared" si="27"/>
        <v>43130.608943585561</v>
      </c>
      <c r="I148" s="578">
        <f>H148-G148</f>
        <v>43130.608943585561</v>
      </c>
      <c r="J148" s="324">
        <f>IF(I148=0,"",I148/H148)</f>
        <v>1</v>
      </c>
      <c r="K148" s="580">
        <f>SUM(K149)</f>
        <v>172522.43577434224</v>
      </c>
    </row>
    <row r="149" spans="1:12" ht="12.75" customHeight="1" x14ac:dyDescent="0.2">
      <c r="A149" s="518" t="s">
        <v>1321</v>
      </c>
      <c r="B149" s="169"/>
      <c r="C149" s="748"/>
      <c r="D149" s="753">
        <v>172522.43577434224</v>
      </c>
      <c r="E149" s="733"/>
      <c r="F149" s="733"/>
      <c r="G149" s="733"/>
      <c r="H149" s="733">
        <f>D149/12*3</f>
        <v>43130.608943585561</v>
      </c>
      <c r="I149" s="44">
        <f>H149-G149</f>
        <v>43130.608943585561</v>
      </c>
      <c r="J149" s="124">
        <f>IF(I149=0,"",I149/H149)</f>
        <v>1</v>
      </c>
      <c r="K149" s="735">
        <f>D149</f>
        <v>172522.43577434224</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28753.73929572371</v>
      </c>
      <c r="E151" s="578">
        <f t="shared" si="28"/>
        <v>0</v>
      </c>
      <c r="F151" s="578">
        <f t="shared" si="28"/>
        <v>0</v>
      </c>
      <c r="G151" s="578">
        <f t="shared" si="28"/>
        <v>0</v>
      </c>
      <c r="H151" s="578">
        <f t="shared" si="28"/>
        <v>7188.4348239309275</v>
      </c>
      <c r="I151" s="578">
        <f>H151-G151</f>
        <v>7188.4348239309275</v>
      </c>
      <c r="J151" s="324">
        <f>IF(I151=0,"",I151/H151)</f>
        <v>1</v>
      </c>
      <c r="K151" s="580">
        <f>SUM(K152)</f>
        <v>28753.73929572371</v>
      </c>
    </row>
    <row r="152" spans="1:12" ht="12.75" customHeight="1" x14ac:dyDescent="0.2">
      <c r="A152" s="518" t="s">
        <v>1322</v>
      </c>
      <c r="B152" s="169"/>
      <c r="C152" s="748"/>
      <c r="D152" s="753">
        <v>28753.73929572371</v>
      </c>
      <c r="E152" s="733"/>
      <c r="F152" s="733"/>
      <c r="G152" s="733"/>
      <c r="H152" s="733">
        <f>D152/12*3</f>
        <v>7188.4348239309275</v>
      </c>
      <c r="I152" s="44">
        <f>H152-G152</f>
        <v>7188.4348239309275</v>
      </c>
      <c r="J152" s="124">
        <f>IF(I152=0,"",I152/H152)</f>
        <v>1</v>
      </c>
      <c r="K152" s="735">
        <f>D152</f>
        <v>28753.73929572371</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
      <c r="A155" s="518" t="s">
        <v>1323</v>
      </c>
      <c r="B155" s="169"/>
      <c r="C155" s="748"/>
      <c r="D155" s="753"/>
      <c r="E155" s="733"/>
      <c r="F155" s="733"/>
      <c r="G155" s="733"/>
      <c r="H155" s="733"/>
      <c r="I155" s="44">
        <f>H155-G155</f>
        <v>0</v>
      </c>
      <c r="J155" s="124" t="str">
        <f>IF(I155=0,"",I155/H155)</f>
        <v/>
      </c>
      <c r="K155" s="735"/>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48149976.690004274</v>
      </c>
      <c r="E157" s="578">
        <f t="shared" si="30"/>
        <v>0</v>
      </c>
      <c r="F157" s="578">
        <f t="shared" si="30"/>
        <v>875769.47</v>
      </c>
      <c r="G157" s="578">
        <f t="shared" si="30"/>
        <v>736833.28</v>
      </c>
      <c r="H157" s="578">
        <f t="shared" si="30"/>
        <v>12037494.172501069</v>
      </c>
      <c r="I157" s="578">
        <f>H157-G157</f>
        <v>11300660.892501069</v>
      </c>
      <c r="J157" s="324">
        <f>IF(I157=0,"",I157/H157)</f>
        <v>0.93878848293166772</v>
      </c>
      <c r="K157" s="580">
        <f>SUM(K158)</f>
        <v>48149976.690004274</v>
      </c>
    </row>
    <row r="158" spans="1:12" ht="12.75" customHeight="1" x14ac:dyDescent="0.2">
      <c r="A158" s="518" t="s">
        <v>1324</v>
      </c>
      <c r="B158" s="169"/>
      <c r="C158" s="748"/>
      <c r="D158" s="753">
        <v>48149976.690004274</v>
      </c>
      <c r="E158" s="733"/>
      <c r="F158" s="733">
        <v>875769.47</v>
      </c>
      <c r="G158" s="733">
        <v>736833.28</v>
      </c>
      <c r="H158" s="733">
        <f>D158/12*3</f>
        <v>12037494.172501069</v>
      </c>
      <c r="I158" s="44">
        <f>H158-G158</f>
        <v>11300660.892501069</v>
      </c>
      <c r="J158" s="124">
        <f>IF(I158=0,"",I158/H158)</f>
        <v>0.93878848293166772</v>
      </c>
      <c r="K158" s="735">
        <f>D158</f>
        <v>48149976.690004274</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t="s">
        <v>1326</v>
      </c>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1328</v>
      </c>
      <c r="B166" s="236">
        <v>1</v>
      </c>
      <c r="C166" s="112">
        <f t="shared" ref="C166:H166" si="33">C7+C75+C103+C110+C117+C135+C138+C148+C151+C154+C157+C160+C163</f>
        <v>0</v>
      </c>
      <c r="D166" s="271">
        <f t="shared" si="33"/>
        <v>109450000</v>
      </c>
      <c r="E166" s="55">
        <f t="shared" si="33"/>
        <v>0</v>
      </c>
      <c r="F166" s="55">
        <f t="shared" si="33"/>
        <v>14674572.000000002</v>
      </c>
      <c r="G166" s="55">
        <f t="shared" si="33"/>
        <v>42484926.269999996</v>
      </c>
      <c r="H166" s="55">
        <f t="shared" si="33"/>
        <v>27362500</v>
      </c>
      <c r="I166" s="55">
        <f>H166-G166</f>
        <v>-15122426.269999996</v>
      </c>
      <c r="J166" s="290">
        <f>IF(I166=0,"",I166/H166)</f>
        <v>-0.5526697586112379</v>
      </c>
      <c r="K166" s="235">
        <f>K7+K75+K103+K110+K117+K135+K138+K148+K151+K154+K157+K160+K163</f>
        <v>109450000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1329</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85" workbookViewId="0">
      <selection activeCell="G118" sqref="G118"/>
    </sheetView>
  </sheetViews>
  <sheetFormatPr defaultColWidth="9.109375" defaultRowHeight="10.199999999999999" x14ac:dyDescent="0.2"/>
  <cols>
    <col min="1" max="1" width="10.6640625" style="25" customWidth="1"/>
    <col min="2" max="16384" width="9.109375" style="25"/>
  </cols>
  <sheetData>
    <row r="1" spans="1:11" ht="13.8" x14ac:dyDescent="0.3">
      <c r="A1" s="365" t="str">
        <f>'Template names'!B102</f>
        <v>Chart C1 2020/21 Capital Expenditure Monthly Trend: actual v target</v>
      </c>
      <c r="B1" s="336"/>
      <c r="C1" s="336"/>
      <c r="D1" s="336"/>
      <c r="E1" s="339"/>
      <c r="F1" s="67"/>
      <c r="G1" s="67"/>
      <c r="H1" s="67"/>
      <c r="I1" s="67"/>
    </row>
    <row r="2" spans="1:11" x14ac:dyDescent="0.2">
      <c r="A2" s="313" t="s">
        <v>887</v>
      </c>
      <c r="B2" s="358" t="str">
        <f>'SC12'!B2</f>
        <v>2019/20</v>
      </c>
      <c r="C2" s="358" t="str">
        <f>'SC12'!C3</f>
        <v>Original Budget</v>
      </c>
      <c r="D2" s="358" t="str">
        <f>'SC12'!D3</f>
        <v>Adjusted Budget</v>
      </c>
      <c r="E2" s="359" t="str">
        <f>'SC12'!E3</f>
        <v>Monthly actual</v>
      </c>
      <c r="F2" s="61"/>
      <c r="G2" s="61"/>
      <c r="H2" s="61"/>
      <c r="I2" s="61"/>
    </row>
    <row r="3" spans="1:11" x14ac:dyDescent="0.2">
      <c r="A3" s="42" t="str">
        <f>LEFT('SC12'!A6,3)</f>
        <v>Jul</v>
      </c>
      <c r="B3" s="43">
        <f>'SC12'!B6</f>
        <v>66093583.333333336</v>
      </c>
      <c r="C3" s="43">
        <f>'SC12'!C6</f>
        <v>48407631.75</v>
      </c>
      <c r="D3" s="43">
        <f>'SC12'!D6</f>
        <v>0</v>
      </c>
      <c r="E3" s="45">
        <f>'SC12'!E6</f>
        <v>936648.53999999957</v>
      </c>
      <c r="F3" s="43"/>
      <c r="G3" s="43"/>
      <c r="H3" s="43"/>
      <c r="I3" s="43"/>
      <c r="J3" s="43"/>
      <c r="K3" s="43"/>
    </row>
    <row r="4" spans="1:11" x14ac:dyDescent="0.2">
      <c r="A4" s="42" t="str">
        <f>LEFT('SC12'!A7,3)</f>
        <v>Aug</v>
      </c>
      <c r="B4" s="43">
        <f>'SC12'!B7</f>
        <v>66093583.333333336</v>
      </c>
      <c r="C4" s="43">
        <f>'SC12'!C7</f>
        <v>48407631.75</v>
      </c>
      <c r="D4" s="43">
        <f>'SC12'!D7</f>
        <v>0</v>
      </c>
      <c r="E4" s="45">
        <f>'SC12'!E7</f>
        <v>28293360.050000001</v>
      </c>
      <c r="F4" s="43"/>
      <c r="G4" s="43"/>
      <c r="H4" s="43"/>
      <c r="I4" s="43"/>
      <c r="J4" s="43"/>
      <c r="K4" s="43"/>
    </row>
    <row r="5" spans="1:11" x14ac:dyDescent="0.2">
      <c r="A5" s="42" t="str">
        <f>LEFT('SC12'!A8,3)</f>
        <v>Sep</v>
      </c>
      <c r="B5" s="43">
        <f>'SC12'!B8</f>
        <v>66093583.333333336</v>
      </c>
      <c r="C5" s="43">
        <f>'SC12'!C8</f>
        <v>48407631.75</v>
      </c>
      <c r="D5" s="43">
        <f>'SC12'!D8</f>
        <v>0</v>
      </c>
      <c r="E5" s="45">
        <f>'SC12'!E8</f>
        <v>51590953.230000004</v>
      </c>
      <c r="F5" s="43"/>
      <c r="G5" s="43"/>
      <c r="H5" s="43"/>
      <c r="I5" s="43"/>
      <c r="J5" s="43"/>
      <c r="K5" s="43"/>
    </row>
    <row r="6" spans="1:11" x14ac:dyDescent="0.2">
      <c r="A6" s="42" t="str">
        <f>LEFT('SC12'!A9,3)</f>
        <v>Oct</v>
      </c>
      <c r="B6" s="43">
        <f>'SC12'!B9</f>
        <v>66093583.333333336</v>
      </c>
      <c r="C6" s="43">
        <f>'SC12'!C9</f>
        <v>48407631.75</v>
      </c>
      <c r="D6" s="43">
        <f>'SC12'!D9</f>
        <v>0</v>
      </c>
      <c r="E6" s="45">
        <f>'SC12'!E9</f>
        <v>0</v>
      </c>
      <c r="F6" s="43"/>
      <c r="G6" s="43"/>
      <c r="H6" s="43"/>
      <c r="I6" s="43"/>
      <c r="J6" s="43"/>
      <c r="K6" s="43"/>
    </row>
    <row r="7" spans="1:11" x14ac:dyDescent="0.2">
      <c r="A7" s="42" t="str">
        <f>LEFT('SC12'!A10,3)</f>
        <v>Nov</v>
      </c>
      <c r="B7" s="43">
        <f>'SC12'!B10</f>
        <v>66093583.333333336</v>
      </c>
      <c r="C7" s="43">
        <f>'SC12'!C10</f>
        <v>48407631.75</v>
      </c>
      <c r="D7" s="43">
        <f>'SC12'!D10</f>
        <v>0</v>
      </c>
      <c r="E7" s="45">
        <f>'SC12'!E10</f>
        <v>0</v>
      </c>
      <c r="F7" s="43"/>
      <c r="G7" s="43"/>
      <c r="H7" s="43"/>
      <c r="I7" s="43"/>
      <c r="J7" s="43"/>
      <c r="K7" s="43"/>
    </row>
    <row r="8" spans="1:11" x14ac:dyDescent="0.2">
      <c r="A8" s="42" t="str">
        <f>LEFT('SC12'!A11,3)</f>
        <v>Dec</v>
      </c>
      <c r="B8" s="43">
        <f>'SC12'!B11</f>
        <v>66093583.333333336</v>
      </c>
      <c r="C8" s="43">
        <f>'SC12'!C11</f>
        <v>48407631.75</v>
      </c>
      <c r="D8" s="43">
        <f>'SC12'!D11</f>
        <v>0</v>
      </c>
      <c r="E8" s="45">
        <f>'SC12'!E11</f>
        <v>0</v>
      </c>
      <c r="F8" s="43"/>
      <c r="G8" s="43"/>
      <c r="H8" s="43"/>
      <c r="I8" s="43"/>
      <c r="J8" s="43"/>
      <c r="K8" s="43"/>
    </row>
    <row r="9" spans="1:11" x14ac:dyDescent="0.2">
      <c r="A9" s="42" t="str">
        <f>LEFT('SC12'!A12,3)</f>
        <v>Jan</v>
      </c>
      <c r="B9" s="43">
        <f>'SC12'!B12</f>
        <v>66093583.333333336</v>
      </c>
      <c r="C9" s="43">
        <f>'SC12'!C12</f>
        <v>48407631.75</v>
      </c>
      <c r="D9" s="43">
        <f>'SC12'!D12</f>
        <v>0</v>
      </c>
      <c r="E9" s="45">
        <f>'SC12'!E12</f>
        <v>0</v>
      </c>
      <c r="F9" s="43"/>
      <c r="G9" s="43"/>
      <c r="H9" s="43"/>
      <c r="I9" s="43"/>
      <c r="J9" s="43"/>
      <c r="K9" s="43"/>
    </row>
    <row r="10" spans="1:11" x14ac:dyDescent="0.2">
      <c r="A10" s="42" t="str">
        <f>LEFT('SC12'!A13,3)</f>
        <v>Feb</v>
      </c>
      <c r="B10" s="43">
        <f>'SC12'!B13</f>
        <v>66093583.333333336</v>
      </c>
      <c r="C10" s="43">
        <f>'SC12'!C13</f>
        <v>48407631.75</v>
      </c>
      <c r="D10" s="43">
        <f>'SC12'!D13</f>
        <v>0</v>
      </c>
      <c r="E10" s="45">
        <f>'SC12'!E13</f>
        <v>0</v>
      </c>
      <c r="F10" s="43"/>
      <c r="G10" s="43"/>
      <c r="H10" s="43"/>
      <c r="I10" s="43"/>
      <c r="J10" s="43"/>
      <c r="K10" s="43"/>
    </row>
    <row r="11" spans="1:11" x14ac:dyDescent="0.2">
      <c r="A11" s="42" t="str">
        <f>LEFT('SC12'!A14,3)</f>
        <v>Mar</v>
      </c>
      <c r="B11" s="43">
        <f>'SC12'!B14</f>
        <v>66093583.333333336</v>
      </c>
      <c r="C11" s="43">
        <f>'SC12'!C14</f>
        <v>48407631.75</v>
      </c>
      <c r="D11" s="43">
        <f>'SC12'!D14</f>
        <v>0</v>
      </c>
      <c r="E11" s="45">
        <f>'SC12'!E14</f>
        <v>0</v>
      </c>
      <c r="F11" s="43"/>
      <c r="G11" s="43"/>
      <c r="H11" s="43"/>
      <c r="I11" s="43"/>
      <c r="J11" s="43"/>
      <c r="K11" s="43"/>
    </row>
    <row r="12" spans="1:11" x14ac:dyDescent="0.2">
      <c r="A12" s="42" t="str">
        <f>LEFT('SC12'!A15,3)</f>
        <v>Apr</v>
      </c>
      <c r="B12" s="43">
        <f>'SC12'!B15</f>
        <v>66093583.333333336</v>
      </c>
      <c r="C12" s="43">
        <f>'SC12'!C15</f>
        <v>48407631.75</v>
      </c>
      <c r="D12" s="43">
        <f>'SC12'!D15</f>
        <v>0</v>
      </c>
      <c r="E12" s="45">
        <f>'SC12'!E15</f>
        <v>0</v>
      </c>
      <c r="F12" s="43"/>
      <c r="G12" s="43"/>
      <c r="H12" s="43"/>
      <c r="I12" s="43"/>
      <c r="J12" s="43"/>
      <c r="K12" s="43"/>
    </row>
    <row r="13" spans="1:11" x14ac:dyDescent="0.2">
      <c r="A13" s="42" t="str">
        <f>LEFT('SC12'!A16,3)</f>
        <v>May</v>
      </c>
      <c r="B13" s="43">
        <f>'SC12'!B16</f>
        <v>66093583.333333336</v>
      </c>
      <c r="C13" s="43">
        <f>'SC12'!C16</f>
        <v>48407631.75</v>
      </c>
      <c r="D13" s="43">
        <f>'SC12'!D16</f>
        <v>0</v>
      </c>
      <c r="E13" s="45">
        <f>'SC12'!E16</f>
        <v>0</v>
      </c>
      <c r="F13" s="43"/>
      <c r="G13" s="43"/>
      <c r="H13" s="43"/>
      <c r="I13" s="43"/>
      <c r="J13" s="43"/>
      <c r="K13" s="43"/>
    </row>
    <row r="14" spans="1:11" x14ac:dyDescent="0.2">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
      <c r="E25" s="67"/>
      <c r="F25" s="67"/>
      <c r="G25" s="67"/>
      <c r="H25" s="67"/>
      <c r="I25" s="67"/>
    </row>
    <row r="26" spans="1:10" ht="13.8" x14ac:dyDescent="0.3">
      <c r="A26" s="366" t="str">
        <f>'Template names'!B103</f>
        <v>Chart C2 2020/21 Capital Expenditure: YTD actual v YTD target</v>
      </c>
      <c r="B26" s="363"/>
      <c r="C26" s="363"/>
      <c r="D26" s="364"/>
      <c r="E26" s="61"/>
      <c r="F26" s="61"/>
      <c r="G26" s="61"/>
      <c r="H26" s="61"/>
      <c r="I26" s="61"/>
    </row>
    <row r="27" spans="1:10" x14ac:dyDescent="0.2">
      <c r="A27" s="313" t="s">
        <v>887</v>
      </c>
      <c r="B27" s="358" t="str">
        <f>'SC12'!F3</f>
        <v>YearTD actual</v>
      </c>
      <c r="C27" s="358" t="str">
        <f>'SC12'!G3</f>
        <v>YearTD budget</v>
      </c>
      <c r="D27" s="272"/>
      <c r="E27" s="61"/>
      <c r="F27" s="61"/>
      <c r="G27" s="61"/>
      <c r="H27" s="61"/>
      <c r="I27" s="61"/>
      <c r="J27" s="67"/>
    </row>
    <row r="28" spans="1:10" x14ac:dyDescent="0.2">
      <c r="A28" s="360" t="str">
        <f>LEFT('SC12'!A6,3)</f>
        <v>Jul</v>
      </c>
      <c r="B28" s="361">
        <f>'SC12'!F6</f>
        <v>936648.53999999957</v>
      </c>
      <c r="C28" s="362">
        <f>'SC12'!G6</f>
        <v>48407631.75</v>
      </c>
      <c r="D28" s="43"/>
      <c r="E28" s="43"/>
      <c r="F28" s="43"/>
      <c r="G28" s="43"/>
      <c r="H28" s="43"/>
      <c r="I28" s="43"/>
    </row>
    <row r="29" spans="1:10" x14ac:dyDescent="0.2">
      <c r="A29" s="42" t="str">
        <f>LEFT('SC12'!A7,3)</f>
        <v>Aug</v>
      </c>
      <c r="B29" s="43">
        <f>'SC12'!F7</f>
        <v>29230008.59</v>
      </c>
      <c r="C29" s="45">
        <f>'SC12'!G7</f>
        <v>96815263.5</v>
      </c>
      <c r="D29" s="43"/>
      <c r="E29" s="43"/>
      <c r="F29" s="43"/>
      <c r="G29" s="43"/>
      <c r="H29" s="43"/>
      <c r="I29" s="43"/>
    </row>
    <row r="30" spans="1:10" x14ac:dyDescent="0.2">
      <c r="A30" s="42" t="str">
        <f>LEFT('SC12'!A8,3)</f>
        <v>Sep</v>
      </c>
      <c r="B30" s="43">
        <f>'SC12'!F8</f>
        <v>80820961.820000008</v>
      </c>
      <c r="C30" s="45">
        <f>'SC12'!G8</f>
        <v>145222895.25</v>
      </c>
      <c r="D30" s="43"/>
      <c r="E30" s="43"/>
      <c r="F30" s="43"/>
      <c r="G30" s="43"/>
      <c r="H30" s="43"/>
      <c r="I30" s="43"/>
    </row>
    <row r="31" spans="1:10" x14ac:dyDescent="0.2">
      <c r="A31" s="42" t="str">
        <f>LEFT('SC12'!A9,3)</f>
        <v>Oct</v>
      </c>
      <c r="B31" s="43" t="str">
        <f>'SC12'!F9</f>
        <v/>
      </c>
      <c r="C31" s="45">
        <f>'SC12'!G9</f>
        <v>193630527</v>
      </c>
      <c r="D31" s="43"/>
      <c r="E31" s="43"/>
      <c r="F31" s="43"/>
      <c r="G31" s="43"/>
      <c r="H31" s="43"/>
      <c r="I31" s="43"/>
    </row>
    <row r="32" spans="1:10" x14ac:dyDescent="0.2">
      <c r="A32" s="42" t="str">
        <f>LEFT('SC12'!A10,3)</f>
        <v>Nov</v>
      </c>
      <c r="B32" s="43" t="str">
        <f>'SC12'!F10</f>
        <v/>
      </c>
      <c r="C32" s="45">
        <f>'SC12'!G10</f>
        <v>242038158.75</v>
      </c>
      <c r="D32" s="43"/>
      <c r="E32" s="43"/>
      <c r="F32" s="43"/>
      <c r="G32" s="43"/>
      <c r="H32" s="43"/>
      <c r="I32" s="43"/>
    </row>
    <row r="33" spans="1:9" x14ac:dyDescent="0.2">
      <c r="A33" s="42" t="str">
        <f>LEFT('SC12'!A11,3)</f>
        <v>Dec</v>
      </c>
      <c r="B33" s="43" t="str">
        <f>'SC12'!F11</f>
        <v/>
      </c>
      <c r="C33" s="45">
        <f>'SC12'!G11</f>
        <v>290445790.5</v>
      </c>
      <c r="D33" s="43"/>
      <c r="E33" s="43"/>
      <c r="F33" s="43"/>
      <c r="G33" s="43"/>
      <c r="H33" s="43"/>
      <c r="I33" s="43"/>
    </row>
    <row r="34" spans="1:9" x14ac:dyDescent="0.2">
      <c r="A34" s="42" t="str">
        <f>LEFT('SC12'!A12,3)</f>
        <v>Jan</v>
      </c>
      <c r="B34" s="43" t="str">
        <f>'SC12'!F12</f>
        <v/>
      </c>
      <c r="C34" s="45">
        <f>'SC12'!G12</f>
        <v>338853422.25</v>
      </c>
      <c r="D34" s="43"/>
      <c r="E34" s="43"/>
      <c r="F34" s="43"/>
      <c r="G34" s="43"/>
      <c r="H34" s="43"/>
      <c r="I34" s="43"/>
    </row>
    <row r="35" spans="1:9" x14ac:dyDescent="0.2">
      <c r="A35" s="42" t="str">
        <f>LEFT('SC12'!A13,3)</f>
        <v>Feb</v>
      </c>
      <c r="B35" s="43" t="str">
        <f>'SC12'!F13</f>
        <v/>
      </c>
      <c r="C35" s="45">
        <f>'SC12'!G13</f>
        <v>387261054</v>
      </c>
      <c r="D35" s="43"/>
      <c r="E35" s="43"/>
      <c r="F35" s="43"/>
      <c r="G35" s="43"/>
      <c r="H35" s="43"/>
      <c r="I35" s="43"/>
    </row>
    <row r="36" spans="1:9" x14ac:dyDescent="0.2">
      <c r="A36" s="42" t="str">
        <f>LEFT('SC12'!A14,3)</f>
        <v>Mar</v>
      </c>
      <c r="B36" s="43" t="str">
        <f>'SC12'!F14</f>
        <v/>
      </c>
      <c r="C36" s="45">
        <f>'SC12'!G14</f>
        <v>435668685.75</v>
      </c>
      <c r="D36" s="43"/>
      <c r="E36" s="43"/>
      <c r="F36" s="43"/>
      <c r="G36" s="43"/>
      <c r="H36" s="43"/>
      <c r="I36" s="43"/>
    </row>
    <row r="37" spans="1:9" x14ac:dyDescent="0.2">
      <c r="A37" s="42" t="str">
        <f>LEFT('SC12'!A15,3)</f>
        <v>Apr</v>
      </c>
      <c r="B37" s="43" t="str">
        <f>'SC12'!F15</f>
        <v/>
      </c>
      <c r="C37" s="45">
        <f>'SC12'!G15</f>
        <v>484076317.5</v>
      </c>
      <c r="D37" s="43"/>
      <c r="E37" s="43"/>
      <c r="F37" s="43"/>
      <c r="G37" s="43"/>
      <c r="H37" s="43"/>
      <c r="I37" s="43"/>
    </row>
    <row r="38" spans="1:9" x14ac:dyDescent="0.2">
      <c r="A38" s="42" t="str">
        <f>LEFT('SC12'!A16,3)</f>
        <v>May</v>
      </c>
      <c r="B38" s="43" t="str">
        <f>'SC12'!F16</f>
        <v/>
      </c>
      <c r="C38" s="45">
        <f>'SC12'!G16</f>
        <v>532483949.25</v>
      </c>
      <c r="D38" s="43"/>
      <c r="E38" s="43"/>
      <c r="F38" s="43"/>
      <c r="G38" s="43"/>
      <c r="H38" s="43"/>
      <c r="I38" s="43"/>
    </row>
    <row r="39" spans="1:9" x14ac:dyDescent="0.2">
      <c r="A39" s="91" t="str">
        <f>LEFT('SC12'!A17,3)</f>
        <v>Jun</v>
      </c>
      <c r="B39" s="356" t="str">
        <f>'SC12'!F17</f>
        <v/>
      </c>
      <c r="C39" s="357">
        <f>'SC12'!G17</f>
        <v>580891581</v>
      </c>
      <c r="D39" s="43"/>
      <c r="E39" s="43"/>
      <c r="F39" s="43"/>
      <c r="G39" s="43"/>
      <c r="H39" s="43"/>
      <c r="I39" s="43"/>
    </row>
    <row r="51" spans="1:9" ht="13.8" x14ac:dyDescent="0.3">
      <c r="A51" s="366" t="str">
        <f>'Template names'!B104</f>
        <v>Chart C3 Aged Consumer Debtors Analysis</v>
      </c>
      <c r="B51" s="363"/>
      <c r="C51" s="363"/>
      <c r="D51" s="364"/>
      <c r="E51" s="61"/>
      <c r="F51" s="61"/>
      <c r="G51" s="61"/>
      <c r="H51" s="61"/>
      <c r="I51" s="61"/>
    </row>
    <row r="52" spans="1:9" x14ac:dyDescent="0.2">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
      <c r="A53" s="61" t="str">
        <f>Head2</f>
        <v>Budget Year 2020/21</v>
      </c>
      <c r="B53" s="43">
        <f>'SC3'!C14</f>
        <v>641707402.23000014</v>
      </c>
      <c r="C53" s="43">
        <f>'SC3'!D14</f>
        <v>149495508.66</v>
      </c>
      <c r="D53" s="43">
        <f>'SC3'!E14</f>
        <v>108483511.43999998</v>
      </c>
      <c r="E53" s="43">
        <f>'SC3'!F14</f>
        <v>90275349.409999996</v>
      </c>
      <c r="F53" s="43">
        <f>'SC3'!G14</f>
        <v>61661672.800000004</v>
      </c>
      <c r="G53" s="43">
        <f>'SC3'!H14</f>
        <v>88894474.260000005</v>
      </c>
      <c r="H53" s="43">
        <f>'SC3'!I14</f>
        <v>536986308.65999997</v>
      </c>
      <c r="I53" s="43">
        <f>'SC3'!J14</f>
        <v>3001583808.6599998</v>
      </c>
    </row>
    <row r="54" spans="1:9" x14ac:dyDescent="0.2">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
      <c r="A55" s="67"/>
      <c r="B55" s="43"/>
      <c r="C55" s="43"/>
      <c r="D55" s="43"/>
      <c r="E55" s="43"/>
      <c r="F55" s="43"/>
      <c r="G55" s="43"/>
      <c r="H55" s="43"/>
      <c r="I55" s="43"/>
    </row>
    <row r="56" spans="1:9" x14ac:dyDescent="0.2">
      <c r="A56" s="67"/>
      <c r="B56" s="43"/>
      <c r="C56" s="43"/>
      <c r="D56" s="43"/>
      <c r="E56" s="43"/>
      <c r="F56" s="43"/>
      <c r="G56" s="43"/>
      <c r="H56" s="43"/>
      <c r="I56" s="43"/>
    </row>
    <row r="57" spans="1:9" x14ac:dyDescent="0.2">
      <c r="A57" s="67"/>
      <c r="B57" s="43"/>
      <c r="C57" s="43"/>
      <c r="D57" s="43"/>
      <c r="E57" s="43"/>
      <c r="F57" s="43"/>
      <c r="G57" s="43"/>
      <c r="H57" s="43"/>
      <c r="I57" s="43"/>
    </row>
    <row r="58" spans="1:9" x14ac:dyDescent="0.2">
      <c r="A58" s="67"/>
      <c r="B58" s="43"/>
      <c r="C58" s="43"/>
      <c r="D58" s="43"/>
      <c r="E58" s="43"/>
      <c r="F58" s="43"/>
      <c r="G58" s="43"/>
      <c r="H58" s="43"/>
      <c r="I58" s="43"/>
    </row>
    <row r="59" spans="1:9" x14ac:dyDescent="0.2">
      <c r="A59" s="67"/>
      <c r="B59" s="43"/>
      <c r="C59" s="43"/>
      <c r="D59" s="43"/>
      <c r="E59" s="43"/>
      <c r="F59" s="43"/>
      <c r="G59" s="43"/>
      <c r="H59" s="43"/>
      <c r="I59" s="43"/>
    </row>
    <row r="60" spans="1:9" x14ac:dyDescent="0.2">
      <c r="A60" s="67"/>
      <c r="B60" s="43"/>
      <c r="C60" s="43"/>
      <c r="D60" s="43"/>
      <c r="E60" s="43"/>
      <c r="F60" s="43"/>
      <c r="G60" s="43"/>
      <c r="H60" s="43"/>
      <c r="I60" s="43"/>
    </row>
    <row r="61" spans="1:9" x14ac:dyDescent="0.2">
      <c r="A61" s="67"/>
      <c r="B61" s="43"/>
      <c r="C61" s="43"/>
      <c r="D61" s="43"/>
      <c r="E61" s="43"/>
      <c r="F61" s="43"/>
      <c r="G61" s="43"/>
      <c r="H61" s="43"/>
      <c r="I61" s="43"/>
    </row>
    <row r="62" spans="1:9" x14ac:dyDescent="0.2">
      <c r="A62" s="67"/>
      <c r="B62" s="43"/>
      <c r="C62" s="43"/>
      <c r="D62" s="43"/>
      <c r="E62" s="43"/>
      <c r="F62" s="43"/>
      <c r="G62" s="43"/>
      <c r="H62" s="43"/>
      <c r="I62" s="43"/>
    </row>
    <row r="63" spans="1:9" x14ac:dyDescent="0.2">
      <c r="A63" s="67"/>
      <c r="B63" s="43"/>
      <c r="C63" s="43"/>
      <c r="D63" s="43"/>
      <c r="E63" s="43"/>
      <c r="F63" s="43"/>
      <c r="G63" s="43"/>
      <c r="H63" s="43"/>
      <c r="I63" s="43"/>
    </row>
    <row r="64" spans="1:9" x14ac:dyDescent="0.2">
      <c r="A64" s="67"/>
      <c r="B64" s="43"/>
      <c r="C64" s="43"/>
      <c r="D64" s="43"/>
      <c r="E64" s="43"/>
      <c r="F64" s="43"/>
      <c r="G64" s="43"/>
      <c r="H64" s="43"/>
      <c r="I64" s="43"/>
    </row>
    <row r="65" spans="1:10" x14ac:dyDescent="0.2">
      <c r="A65" s="67"/>
      <c r="B65" s="67"/>
      <c r="C65" s="67"/>
      <c r="D65" s="67"/>
    </row>
    <row r="76" spans="1:10" ht="13.8" x14ac:dyDescent="0.3">
      <c r="A76" s="366" t="str">
        <f>'Template names'!B105</f>
        <v>Chart C4 Consumer Debtors (total by Debtor Customer Category)</v>
      </c>
      <c r="B76" s="363"/>
      <c r="C76" s="363"/>
      <c r="D76" s="364"/>
      <c r="E76" s="61"/>
      <c r="F76" s="61"/>
      <c r="G76" s="61"/>
      <c r="H76" s="61"/>
      <c r="I76" s="61"/>
    </row>
    <row r="77" spans="1:10" x14ac:dyDescent="0.2">
      <c r="B77" s="49" t="str">
        <f>Head1</f>
        <v>2019/20</v>
      </c>
      <c r="C77" s="61" t="str">
        <f>Head2</f>
        <v>Budget Year 2020/21</v>
      </c>
      <c r="D77" s="61"/>
      <c r="E77" s="61"/>
      <c r="F77" s="61"/>
      <c r="G77" s="61"/>
      <c r="H77" s="61"/>
      <c r="I77" s="61"/>
      <c r="J77" s="61"/>
    </row>
    <row r="78" spans="1:10" x14ac:dyDescent="0.2">
      <c r="A78" s="61" t="str">
        <f>'SC3'!A17</f>
        <v>Organs of State</v>
      </c>
      <c r="B78" s="43">
        <f>C78*0.97</f>
        <v>224861060.53039998</v>
      </c>
      <c r="C78" s="43">
        <f>'SC3'!K17</f>
        <v>231815526.31999999</v>
      </c>
      <c r="D78" s="43"/>
      <c r="E78" s="43"/>
      <c r="F78" s="43"/>
      <c r="G78" s="43"/>
      <c r="H78" s="43"/>
      <c r="I78" s="43"/>
      <c r="J78" s="43"/>
    </row>
    <row r="79" spans="1:10" x14ac:dyDescent="0.2">
      <c r="A79" s="61" t="str">
        <f>'SC3'!A18</f>
        <v>Commercial</v>
      </c>
      <c r="B79" s="43">
        <f>C79*0.97</f>
        <v>750619111.8520999</v>
      </c>
      <c r="C79" s="43">
        <f>'SC3'!K18</f>
        <v>773834135.92999995</v>
      </c>
      <c r="D79" s="43"/>
      <c r="E79" s="43"/>
      <c r="F79" s="43"/>
      <c r="G79" s="43"/>
      <c r="H79" s="43"/>
      <c r="I79" s="43"/>
      <c r="J79" s="43"/>
    </row>
    <row r="80" spans="1:10" x14ac:dyDescent="0.2">
      <c r="A80" s="61" t="str">
        <f>'SC3'!A19</f>
        <v>Households</v>
      </c>
      <c r="B80" s="43">
        <f>C80*0.97</f>
        <v>3337107907.9438996</v>
      </c>
      <c r="C80" s="43">
        <f>'SC3'!K19</f>
        <v>3440317430.8699999</v>
      </c>
    </row>
    <row r="81" spans="1:3" x14ac:dyDescent="0.2">
      <c r="A81" s="61" t="str">
        <f>'SC3'!A20</f>
        <v>Other</v>
      </c>
      <c r="B81" s="43">
        <f>C81*0.97</f>
        <v>226127314.71000001</v>
      </c>
      <c r="C81" s="43">
        <f>'SC3'!K20</f>
        <v>233120943</v>
      </c>
    </row>
    <row r="101" spans="1:10" ht="13.8" x14ac:dyDescent="0.3">
      <c r="A101" s="366" t="str">
        <f>'Template names'!B106</f>
        <v>Chart C5 Aged Creditors Analysis</v>
      </c>
      <c r="B101" s="363"/>
      <c r="C101" s="363"/>
      <c r="D101" s="364"/>
      <c r="E101" s="61"/>
      <c r="F101" s="61"/>
    </row>
    <row r="102" spans="1:10" x14ac:dyDescent="0.2">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
      <c r="A103" s="61" t="str">
        <f>A54</f>
        <v>2019/20</v>
      </c>
      <c r="B103" s="405">
        <f>'SC4'!L6</f>
        <v>230871137</v>
      </c>
      <c r="C103" s="405">
        <f>'SC4'!L7</f>
        <v>64933954</v>
      </c>
      <c r="D103" s="405">
        <f>'SC4'!L8</f>
        <v>0</v>
      </c>
      <c r="E103" s="405">
        <f>'SC4'!L9</f>
        <v>102675874</v>
      </c>
      <c r="F103" s="405">
        <f>'SC4'!L10</f>
        <v>0</v>
      </c>
      <c r="G103" s="405">
        <f>'SC4'!L11</f>
        <v>0</v>
      </c>
      <c r="H103" s="405">
        <f>'SC4'!L12</f>
        <v>67396930</v>
      </c>
      <c r="I103" s="405">
        <f>'SC4'!L13</f>
        <v>0</v>
      </c>
      <c r="J103" s="405">
        <f>'SC4'!L14</f>
        <v>248778058</v>
      </c>
    </row>
    <row r="104" spans="1:10" x14ac:dyDescent="0.2">
      <c r="A104" s="61" t="str">
        <f>A53</f>
        <v>Budget Year 2020/21</v>
      </c>
      <c r="B104" s="43">
        <f>'SC4'!K6</f>
        <v>370599358.48000002</v>
      </c>
      <c r="C104" s="43">
        <f>'SC4'!K7</f>
        <v>245542906.60000002</v>
      </c>
      <c r="D104" s="43">
        <f>'SC4'!K8</f>
        <v>0</v>
      </c>
      <c r="E104" s="43">
        <f>'SC4'!K9</f>
        <v>130845300.55999999</v>
      </c>
      <c r="F104" s="43">
        <f>'SC4'!K10</f>
        <v>0</v>
      </c>
      <c r="G104" s="43">
        <f>'SC4'!K11</f>
        <v>0</v>
      </c>
      <c r="H104" s="43">
        <f>'SC4'!K12</f>
        <v>89797550.900000021</v>
      </c>
      <c r="I104" s="43">
        <f>'SC4'!K13</f>
        <v>91221.91</v>
      </c>
      <c r="J104" s="43">
        <f>'SC4'!K14</f>
        <v>377432080.77999997</v>
      </c>
    </row>
    <row r="106" spans="1:10" ht="12" customHeight="1" x14ac:dyDescent="0.2">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3">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3.2" x14ac:dyDescent="0.25">
      <c r="B28" s="915" t="s">
        <v>183</v>
      </c>
      <c r="C28" s="1" t="s">
        <v>184</v>
      </c>
    </row>
    <row r="29" spans="1:3" ht="13.2" x14ac:dyDescent="0.25">
      <c r="B29" s="921" t="s">
        <v>1067</v>
      </c>
      <c r="C29" s="944" t="s">
        <v>1336</v>
      </c>
    </row>
    <row r="30" spans="1:3" ht="13.2" x14ac:dyDescent="0.25">
      <c r="B30" s="921" t="s">
        <v>1068</v>
      </c>
      <c r="C30" s="945" t="s">
        <v>1336</v>
      </c>
    </row>
    <row r="31" spans="1:3" ht="13.2" x14ac:dyDescent="0.25">
      <c r="B31" s="921" t="s">
        <v>1337</v>
      </c>
      <c r="C31" s="944" t="s">
        <v>1336</v>
      </c>
    </row>
    <row r="32" spans="1:3" ht="13.2" x14ac:dyDescent="0.25">
      <c r="B32" s="921" t="s">
        <v>219</v>
      </c>
      <c r="C32" s="944" t="s">
        <v>1336</v>
      </c>
    </row>
    <row r="33" spans="2:3" ht="13.2" x14ac:dyDescent="0.25">
      <c r="B33" s="921" t="s">
        <v>220</v>
      </c>
      <c r="C33" s="944" t="s">
        <v>1336</v>
      </c>
    </row>
    <row r="34" spans="2:3" ht="13.2" x14ac:dyDescent="0.25">
      <c r="B34" s="921" t="s">
        <v>221</v>
      </c>
      <c r="C34" s="944" t="s">
        <v>1336</v>
      </c>
    </row>
    <row r="35" spans="2:3" ht="13.2" x14ac:dyDescent="0.25">
      <c r="B35" s="921" t="s">
        <v>222</v>
      </c>
      <c r="C35" s="944" t="s">
        <v>1336</v>
      </c>
    </row>
    <row r="36" spans="2:3" ht="13.2" x14ac:dyDescent="0.25">
      <c r="B36" s="921" t="s">
        <v>223</v>
      </c>
      <c r="C36" s="945" t="s">
        <v>1336</v>
      </c>
    </row>
    <row r="37" spans="2:3" ht="13.2" x14ac:dyDescent="0.25">
      <c r="B37" s="921" t="s">
        <v>976</v>
      </c>
      <c r="C37" s="944" t="s">
        <v>1336</v>
      </c>
    </row>
    <row r="38" spans="2:3" ht="13.2" x14ac:dyDescent="0.25">
      <c r="B38" s="921" t="s">
        <v>1102</v>
      </c>
      <c r="C38" s="919" t="s">
        <v>1336</v>
      </c>
    </row>
    <row r="39" spans="2:3" ht="13.2" x14ac:dyDescent="0.25">
      <c r="B39" s="921" t="s">
        <v>224</v>
      </c>
      <c r="C39" s="919" t="s">
        <v>1336</v>
      </c>
    </row>
    <row r="40" spans="2:3" ht="13.2" x14ac:dyDescent="0.25">
      <c r="B40" s="921" t="s">
        <v>225</v>
      </c>
      <c r="C40" s="891" t="s">
        <v>1336</v>
      </c>
    </row>
    <row r="41" spans="2:3" ht="13.2" x14ac:dyDescent="0.25">
      <c r="B41" s="921" t="s">
        <v>226</v>
      </c>
      <c r="C41" s="891" t="s">
        <v>1336</v>
      </c>
    </row>
    <row r="42" spans="2:3" ht="13.2" x14ac:dyDescent="0.25">
      <c r="B42" s="921" t="s">
        <v>227</v>
      </c>
      <c r="C42" s="891" t="s">
        <v>1336</v>
      </c>
    </row>
    <row r="43" spans="2:3" ht="13.2" x14ac:dyDescent="0.25">
      <c r="B43" s="921" t="s">
        <v>228</v>
      </c>
      <c r="C43" s="891" t="s">
        <v>1336</v>
      </c>
    </row>
    <row r="44" spans="2:3" ht="13.2" x14ac:dyDescent="0.25">
      <c r="B44" s="946" t="s">
        <v>1106</v>
      </c>
      <c r="C44" s="891" t="s">
        <v>1336</v>
      </c>
    </row>
    <row r="45" spans="2:3" ht="13.2" x14ac:dyDescent="0.25">
      <c r="B45" s="921" t="s">
        <v>186</v>
      </c>
      <c r="C45" s="891" t="s">
        <v>1336</v>
      </c>
    </row>
    <row r="46" spans="2:3" ht="13.2" x14ac:dyDescent="0.25">
      <c r="B46" s="921" t="s">
        <v>229</v>
      </c>
      <c r="C46" s="891" t="s">
        <v>1336</v>
      </c>
    </row>
    <row r="47" spans="2:3" ht="13.2" x14ac:dyDescent="0.25">
      <c r="B47" s="921" t="s">
        <v>230</v>
      </c>
      <c r="C47" s="891" t="s">
        <v>1336</v>
      </c>
    </row>
    <row r="48" spans="2:3" ht="13.2" x14ac:dyDescent="0.25">
      <c r="B48" s="921" t="s">
        <v>231</v>
      </c>
      <c r="C48" s="891" t="s">
        <v>1336</v>
      </c>
    </row>
    <row r="49" spans="2:3" ht="13.2" x14ac:dyDescent="0.25">
      <c r="B49" s="921" t="s">
        <v>232</v>
      </c>
      <c r="C49" s="891" t="s">
        <v>1336</v>
      </c>
    </row>
    <row r="50" spans="2:3" ht="13.2" x14ac:dyDescent="0.25">
      <c r="B50" s="921" t="s">
        <v>233</v>
      </c>
      <c r="C50" s="919" t="s">
        <v>1336</v>
      </c>
    </row>
    <row r="51" spans="2:3" ht="13.2" x14ac:dyDescent="0.25">
      <c r="B51" s="946" t="s">
        <v>1107</v>
      </c>
      <c r="C51" s="919" t="s">
        <v>1336</v>
      </c>
    </row>
    <row r="52" spans="2:3" ht="13.2" x14ac:dyDescent="0.25">
      <c r="B52" s="921" t="s">
        <v>187</v>
      </c>
      <c r="C52" s="919" t="s">
        <v>1336</v>
      </c>
    </row>
    <row r="53" spans="2:3" ht="13.2" x14ac:dyDescent="0.25">
      <c r="B53" s="921" t="s">
        <v>234</v>
      </c>
      <c r="C53" s="919" t="s">
        <v>1336</v>
      </c>
    </row>
    <row r="54" spans="2:3" ht="13.2" x14ac:dyDescent="0.25">
      <c r="B54" s="921" t="s">
        <v>235</v>
      </c>
      <c r="C54" s="919" t="s">
        <v>1336</v>
      </c>
    </row>
    <row r="55" spans="2:3" ht="13.2" x14ac:dyDescent="0.25">
      <c r="B55" s="946" t="s">
        <v>1108</v>
      </c>
      <c r="C55" s="919" t="s">
        <v>1336</v>
      </c>
    </row>
    <row r="56" spans="2:3" ht="13.2" x14ac:dyDescent="0.25">
      <c r="B56" s="921" t="s">
        <v>974</v>
      </c>
      <c r="C56" s="919" t="s">
        <v>1336</v>
      </c>
    </row>
    <row r="57" spans="2:3" ht="13.2" x14ac:dyDescent="0.25">
      <c r="B57" s="921" t="s">
        <v>236</v>
      </c>
      <c r="C57" s="646" t="s">
        <v>1336</v>
      </c>
    </row>
    <row r="58" spans="2:3" ht="13.2" x14ac:dyDescent="0.25">
      <c r="B58" s="921" t="s">
        <v>237</v>
      </c>
      <c r="C58" s="646" t="s">
        <v>1336</v>
      </c>
    </row>
    <row r="59" spans="2:3" ht="13.2" x14ac:dyDescent="0.25">
      <c r="B59" s="921" t="s">
        <v>238</v>
      </c>
      <c r="C59" s="919" t="s">
        <v>1336</v>
      </c>
    </row>
    <row r="60" spans="2:3" ht="13.2" x14ac:dyDescent="0.25">
      <c r="B60" s="921" t="s">
        <v>239</v>
      </c>
      <c r="C60" s="919" t="s">
        <v>1336</v>
      </c>
    </row>
    <row r="61" spans="2:3" ht="13.2" x14ac:dyDescent="0.25">
      <c r="B61" s="921" t="s">
        <v>240</v>
      </c>
      <c r="C61" s="919" t="s">
        <v>1336</v>
      </c>
    </row>
    <row r="62" spans="2:3" ht="13.2" x14ac:dyDescent="0.25">
      <c r="B62" s="921" t="s">
        <v>188</v>
      </c>
      <c r="C62" s="919" t="s">
        <v>1336</v>
      </c>
    </row>
    <row r="63" spans="2:3" ht="13.2" x14ac:dyDescent="0.25">
      <c r="B63" s="921" t="s">
        <v>241</v>
      </c>
      <c r="C63" s="891" t="s">
        <v>1336</v>
      </c>
    </row>
    <row r="64" spans="2:3" ht="13.2" x14ac:dyDescent="0.25">
      <c r="B64" s="921" t="s">
        <v>242</v>
      </c>
      <c r="C64" s="919" t="s">
        <v>1336</v>
      </c>
    </row>
    <row r="65" spans="2:3" ht="13.2" x14ac:dyDescent="0.25">
      <c r="B65" s="921" t="s">
        <v>1062</v>
      </c>
      <c r="C65" s="919" t="s">
        <v>1336</v>
      </c>
    </row>
    <row r="66" spans="2:3" ht="13.2" x14ac:dyDescent="0.25">
      <c r="B66" s="921" t="s">
        <v>1063</v>
      </c>
      <c r="C66" s="919" t="s">
        <v>1336</v>
      </c>
    </row>
    <row r="67" spans="2:3" ht="13.2" x14ac:dyDescent="0.25">
      <c r="B67" s="921" t="s">
        <v>214</v>
      </c>
      <c r="C67" s="919" t="s">
        <v>1336</v>
      </c>
    </row>
    <row r="68" spans="2:3" ht="13.2" x14ac:dyDescent="0.25">
      <c r="B68" s="921" t="s">
        <v>1069</v>
      </c>
      <c r="C68" s="919" t="s">
        <v>1338</v>
      </c>
    </row>
    <row r="69" spans="2:3" ht="13.2" x14ac:dyDescent="0.25">
      <c r="B69" s="921" t="s">
        <v>243</v>
      </c>
      <c r="C69" s="919" t="s">
        <v>1338</v>
      </c>
    </row>
    <row r="70" spans="2:3" ht="13.2" x14ac:dyDescent="0.25">
      <c r="B70" s="921" t="s">
        <v>244</v>
      </c>
      <c r="C70" s="919" t="s">
        <v>1338</v>
      </c>
    </row>
    <row r="71" spans="2:3" ht="13.2" x14ac:dyDescent="0.25">
      <c r="B71" s="921" t="s">
        <v>245</v>
      </c>
      <c r="C71" s="919" t="s">
        <v>1338</v>
      </c>
    </row>
    <row r="72" spans="2:3" ht="13.2" x14ac:dyDescent="0.25">
      <c r="B72" s="921" t="s">
        <v>189</v>
      </c>
      <c r="C72" s="919" t="s">
        <v>1338</v>
      </c>
    </row>
    <row r="73" spans="2:3" ht="13.2" x14ac:dyDescent="0.25">
      <c r="B73" s="921" t="s">
        <v>246</v>
      </c>
      <c r="C73" s="919" t="s">
        <v>1338</v>
      </c>
    </row>
    <row r="74" spans="2:3" ht="13.2" x14ac:dyDescent="0.25">
      <c r="B74" s="921" t="s">
        <v>247</v>
      </c>
      <c r="C74" s="919" t="s">
        <v>1338</v>
      </c>
    </row>
    <row r="75" spans="2:3" ht="13.2" x14ac:dyDescent="0.25">
      <c r="B75" s="921" t="s">
        <v>248</v>
      </c>
      <c r="C75" s="919" t="s">
        <v>1338</v>
      </c>
    </row>
    <row r="76" spans="2:3" ht="13.2" x14ac:dyDescent="0.25">
      <c r="B76" s="921" t="s">
        <v>249</v>
      </c>
      <c r="C76" s="919" t="s">
        <v>1338</v>
      </c>
    </row>
    <row r="77" spans="2:3" ht="13.2" x14ac:dyDescent="0.25">
      <c r="B77" s="921" t="s">
        <v>250</v>
      </c>
      <c r="C77" s="919" t="s">
        <v>1338</v>
      </c>
    </row>
    <row r="78" spans="2:3" ht="13.2" x14ac:dyDescent="0.25">
      <c r="B78" s="921" t="s">
        <v>190</v>
      </c>
      <c r="C78" s="919" t="s">
        <v>1338</v>
      </c>
    </row>
    <row r="79" spans="2:3" ht="13.2" x14ac:dyDescent="0.25">
      <c r="B79" s="921" t="s">
        <v>251</v>
      </c>
      <c r="C79" s="919" t="s">
        <v>1338</v>
      </c>
    </row>
    <row r="80" spans="2:3" ht="13.2" x14ac:dyDescent="0.25">
      <c r="B80" s="921" t="s">
        <v>252</v>
      </c>
      <c r="C80" s="919" t="s">
        <v>1338</v>
      </c>
    </row>
    <row r="81" spans="2:3" ht="13.2" x14ac:dyDescent="0.25">
      <c r="B81" s="921" t="s">
        <v>253</v>
      </c>
      <c r="C81" s="919" t="s">
        <v>1338</v>
      </c>
    </row>
    <row r="82" spans="2:3" ht="13.2" x14ac:dyDescent="0.25">
      <c r="B82" s="921" t="s">
        <v>254</v>
      </c>
      <c r="C82" s="919" t="s">
        <v>1338</v>
      </c>
    </row>
    <row r="83" spans="2:3" ht="13.2" x14ac:dyDescent="0.25">
      <c r="B83" s="921" t="s">
        <v>255</v>
      </c>
      <c r="C83" s="919" t="s">
        <v>1338</v>
      </c>
    </row>
    <row r="84" spans="2:3" ht="13.2" x14ac:dyDescent="0.25">
      <c r="B84" s="921" t="s">
        <v>1064</v>
      </c>
      <c r="C84" s="919" t="s">
        <v>1338</v>
      </c>
    </row>
    <row r="85" spans="2:3" ht="13.2" x14ac:dyDescent="0.25">
      <c r="B85" s="921" t="s">
        <v>191</v>
      </c>
      <c r="C85" s="919" t="s">
        <v>1338</v>
      </c>
    </row>
    <row r="86" spans="2:3" ht="13.2" x14ac:dyDescent="0.25">
      <c r="B86" s="921" t="s">
        <v>256</v>
      </c>
      <c r="C86" s="919" t="s">
        <v>1338</v>
      </c>
    </row>
    <row r="87" spans="2:3" ht="13.2" x14ac:dyDescent="0.25">
      <c r="B87" s="921" t="s">
        <v>257</v>
      </c>
      <c r="C87" s="919" t="s">
        <v>1338</v>
      </c>
    </row>
    <row r="88" spans="2:3" ht="13.2" x14ac:dyDescent="0.25">
      <c r="B88" s="921" t="s">
        <v>258</v>
      </c>
      <c r="C88" s="919" t="s">
        <v>1338</v>
      </c>
    </row>
    <row r="89" spans="2:3" ht="13.2" x14ac:dyDescent="0.25">
      <c r="B89" s="921" t="s">
        <v>259</v>
      </c>
      <c r="C89" s="919" t="s">
        <v>1338</v>
      </c>
    </row>
    <row r="90" spans="2:3" ht="13.2" x14ac:dyDescent="0.25">
      <c r="B90" s="921" t="s">
        <v>192</v>
      </c>
      <c r="C90" s="919" t="s">
        <v>1338</v>
      </c>
    </row>
    <row r="91" spans="2:3" ht="13.2" x14ac:dyDescent="0.25">
      <c r="B91" s="921" t="s">
        <v>1339</v>
      </c>
      <c r="C91" s="919" t="s">
        <v>1340</v>
      </c>
    </row>
    <row r="92" spans="2:3" ht="13.2" x14ac:dyDescent="0.25">
      <c r="B92" s="921" t="s">
        <v>1070</v>
      </c>
      <c r="C92" s="919" t="s">
        <v>1340</v>
      </c>
    </row>
    <row r="93" spans="2:3" ht="13.2" x14ac:dyDescent="0.25">
      <c r="B93" s="921" t="s">
        <v>1071</v>
      </c>
      <c r="C93" s="919" t="s">
        <v>1340</v>
      </c>
    </row>
    <row r="94" spans="2:3" ht="13.2" x14ac:dyDescent="0.25">
      <c r="B94" s="921" t="s">
        <v>260</v>
      </c>
      <c r="C94" s="919" t="s">
        <v>1340</v>
      </c>
    </row>
    <row r="95" spans="2:3" ht="13.2" x14ac:dyDescent="0.25">
      <c r="B95" s="921" t="s">
        <v>261</v>
      </c>
      <c r="C95" s="919" t="s">
        <v>1340</v>
      </c>
    </row>
    <row r="96" spans="2:3" ht="13.2" x14ac:dyDescent="0.25">
      <c r="B96" s="921" t="s">
        <v>262</v>
      </c>
      <c r="C96" s="919" t="s">
        <v>1340</v>
      </c>
    </row>
    <row r="97" spans="2:3" ht="13.2" x14ac:dyDescent="0.25">
      <c r="B97" s="921" t="s">
        <v>213</v>
      </c>
      <c r="C97" s="919" t="s">
        <v>1340</v>
      </c>
    </row>
    <row r="98" spans="2:3" ht="13.2" x14ac:dyDescent="0.25">
      <c r="B98" s="921" t="s">
        <v>263</v>
      </c>
      <c r="C98" s="919" t="s">
        <v>1340</v>
      </c>
    </row>
    <row r="99" spans="2:3" ht="13.2" x14ac:dyDescent="0.25">
      <c r="B99" s="921" t="s">
        <v>977</v>
      </c>
      <c r="C99" s="919" t="s">
        <v>1340</v>
      </c>
    </row>
    <row r="100" spans="2:3" ht="13.2" x14ac:dyDescent="0.25">
      <c r="B100" s="946" t="s">
        <v>1341</v>
      </c>
      <c r="C100" s="919" t="s">
        <v>1340</v>
      </c>
    </row>
    <row r="101" spans="2:3" ht="13.2" x14ac:dyDescent="0.25">
      <c r="B101" s="921" t="s">
        <v>215</v>
      </c>
      <c r="C101" s="919" t="s">
        <v>1340</v>
      </c>
    </row>
    <row r="102" spans="2:3" ht="13.2" x14ac:dyDescent="0.25">
      <c r="B102" s="921" t="s">
        <v>1072</v>
      </c>
      <c r="C102" s="919" t="s">
        <v>1342</v>
      </c>
    </row>
    <row r="103" spans="2:3" ht="13.2" x14ac:dyDescent="0.25">
      <c r="B103" s="921" t="s">
        <v>264</v>
      </c>
      <c r="C103" s="919" t="s">
        <v>1342</v>
      </c>
    </row>
    <row r="104" spans="2:3" ht="13.2" x14ac:dyDescent="0.25">
      <c r="B104" s="921" t="s">
        <v>265</v>
      </c>
      <c r="C104" s="944" t="s">
        <v>1342</v>
      </c>
    </row>
    <row r="105" spans="2:3" ht="13.2" x14ac:dyDescent="0.25">
      <c r="B105" s="921" t="s">
        <v>266</v>
      </c>
      <c r="C105" s="944" t="s">
        <v>1342</v>
      </c>
    </row>
    <row r="106" spans="2:3" ht="13.2" x14ac:dyDescent="0.25">
      <c r="B106" s="921" t="s">
        <v>1114</v>
      </c>
      <c r="C106" s="944" t="s">
        <v>1342</v>
      </c>
    </row>
    <row r="107" spans="2:3" ht="13.2" x14ac:dyDescent="0.25">
      <c r="B107" s="921" t="s">
        <v>193</v>
      </c>
      <c r="C107" s="944" t="s">
        <v>1342</v>
      </c>
    </row>
    <row r="108" spans="2:3" ht="13.2" x14ac:dyDescent="0.25">
      <c r="B108" s="921" t="s">
        <v>267</v>
      </c>
      <c r="C108" s="944" t="s">
        <v>1342</v>
      </c>
    </row>
    <row r="109" spans="2:3" ht="13.2" x14ac:dyDescent="0.25">
      <c r="B109" s="921" t="s">
        <v>268</v>
      </c>
      <c r="C109" s="944" t="s">
        <v>1342</v>
      </c>
    </row>
    <row r="110" spans="2:3" ht="13.2" x14ac:dyDescent="0.25">
      <c r="B110" s="921" t="s">
        <v>269</v>
      </c>
      <c r="C110" s="944" t="s">
        <v>1342</v>
      </c>
    </row>
    <row r="111" spans="2:3" ht="13.2" x14ac:dyDescent="0.25">
      <c r="B111" s="921" t="s">
        <v>270</v>
      </c>
      <c r="C111" s="944" t="s">
        <v>1342</v>
      </c>
    </row>
    <row r="112" spans="2:3" ht="13.2" x14ac:dyDescent="0.25">
      <c r="B112" s="921" t="s">
        <v>271</v>
      </c>
      <c r="C112" s="944" t="s">
        <v>1342</v>
      </c>
    </row>
    <row r="113" spans="2:3" ht="13.2" x14ac:dyDescent="0.25">
      <c r="B113" s="921" t="s">
        <v>272</v>
      </c>
      <c r="C113" s="944" t="s">
        <v>1342</v>
      </c>
    </row>
    <row r="114" spans="2:3" ht="13.2" x14ac:dyDescent="0.25">
      <c r="B114" s="921" t="s">
        <v>273</v>
      </c>
      <c r="C114" s="944" t="s">
        <v>1342</v>
      </c>
    </row>
    <row r="115" spans="2:3" ht="13.2" x14ac:dyDescent="0.25">
      <c r="B115" s="921" t="s">
        <v>194</v>
      </c>
      <c r="C115" s="944" t="s">
        <v>1342</v>
      </c>
    </row>
    <row r="116" spans="2:3" ht="13.2" x14ac:dyDescent="0.25">
      <c r="B116" s="921" t="s">
        <v>274</v>
      </c>
      <c r="C116" s="944" t="s">
        <v>1342</v>
      </c>
    </row>
    <row r="117" spans="2:3" ht="13.2" x14ac:dyDescent="0.25">
      <c r="B117" s="946" t="s">
        <v>1109</v>
      </c>
      <c r="C117" s="944" t="s">
        <v>1342</v>
      </c>
    </row>
    <row r="118" spans="2:3" ht="13.2" x14ac:dyDescent="0.25">
      <c r="B118" s="946" t="s">
        <v>1110</v>
      </c>
      <c r="C118" s="944" t="s">
        <v>1342</v>
      </c>
    </row>
    <row r="119" spans="2:3" ht="13.2" x14ac:dyDescent="0.25">
      <c r="B119" s="921" t="s">
        <v>195</v>
      </c>
      <c r="C119" s="944" t="s">
        <v>1342</v>
      </c>
    </row>
    <row r="120" spans="2:3" ht="13.2" x14ac:dyDescent="0.25">
      <c r="B120" s="921" t="s">
        <v>275</v>
      </c>
      <c r="C120" s="944" t="s">
        <v>1342</v>
      </c>
    </row>
    <row r="121" spans="2:3" ht="13.2" x14ac:dyDescent="0.25">
      <c r="B121" s="921" t="s">
        <v>276</v>
      </c>
      <c r="C121" s="944" t="s">
        <v>1342</v>
      </c>
    </row>
    <row r="122" spans="2:3" ht="13.2" x14ac:dyDescent="0.25">
      <c r="B122" s="921" t="s">
        <v>277</v>
      </c>
      <c r="C122" s="944" t="s">
        <v>1342</v>
      </c>
    </row>
    <row r="123" spans="2:3" ht="13.2" x14ac:dyDescent="0.25">
      <c r="B123" s="921" t="s">
        <v>279</v>
      </c>
      <c r="C123" s="944" t="s">
        <v>1342</v>
      </c>
    </row>
    <row r="124" spans="2:3" ht="13.2" x14ac:dyDescent="0.25">
      <c r="B124" s="921" t="s">
        <v>196</v>
      </c>
      <c r="C124" s="919" t="s">
        <v>1342</v>
      </c>
    </row>
    <row r="125" spans="2:3" ht="13.2" x14ac:dyDescent="0.25">
      <c r="B125" s="921" t="s">
        <v>280</v>
      </c>
      <c r="C125" s="919" t="s">
        <v>1342</v>
      </c>
    </row>
    <row r="126" spans="2:3" ht="13.2" x14ac:dyDescent="0.25">
      <c r="B126" s="921" t="s">
        <v>1343</v>
      </c>
      <c r="C126" s="919" t="s">
        <v>1342</v>
      </c>
    </row>
    <row r="127" spans="2:3" ht="13.2" x14ac:dyDescent="0.25">
      <c r="B127" s="921" t="s">
        <v>281</v>
      </c>
      <c r="C127" s="919" t="s">
        <v>1342</v>
      </c>
    </row>
    <row r="128" spans="2:3" ht="13.2" x14ac:dyDescent="0.25">
      <c r="B128" s="921" t="s">
        <v>197</v>
      </c>
      <c r="C128" s="919" t="s">
        <v>1342</v>
      </c>
    </row>
    <row r="129" spans="2:3" ht="13.2" x14ac:dyDescent="0.25">
      <c r="B129" s="921" t="s">
        <v>282</v>
      </c>
      <c r="C129" s="919" t="s">
        <v>1342</v>
      </c>
    </row>
    <row r="130" spans="2:3" ht="13.2" x14ac:dyDescent="0.25">
      <c r="B130" s="921" t="s">
        <v>283</v>
      </c>
      <c r="C130" s="919" t="s">
        <v>1342</v>
      </c>
    </row>
    <row r="131" spans="2:3" ht="13.2" x14ac:dyDescent="0.25">
      <c r="B131" s="921" t="s">
        <v>284</v>
      </c>
      <c r="C131" s="919" t="s">
        <v>1342</v>
      </c>
    </row>
    <row r="132" spans="2:3" ht="13.2" x14ac:dyDescent="0.25">
      <c r="B132" s="921" t="s">
        <v>285</v>
      </c>
      <c r="C132" s="919" t="s">
        <v>1342</v>
      </c>
    </row>
    <row r="133" spans="2:3" ht="13.2" x14ac:dyDescent="0.25">
      <c r="B133" s="921" t="s">
        <v>286</v>
      </c>
      <c r="C133" s="919" t="s">
        <v>1342</v>
      </c>
    </row>
    <row r="134" spans="2:3" ht="13.2" x14ac:dyDescent="0.25">
      <c r="B134" s="921" t="s">
        <v>198</v>
      </c>
      <c r="C134" s="891" t="s">
        <v>1342</v>
      </c>
    </row>
    <row r="135" spans="2:3" ht="13.2" x14ac:dyDescent="0.25">
      <c r="B135" s="921" t="s">
        <v>287</v>
      </c>
      <c r="C135" s="891" t="s">
        <v>1342</v>
      </c>
    </row>
    <row r="136" spans="2:3" ht="13.2" x14ac:dyDescent="0.25">
      <c r="B136" s="921" t="s">
        <v>288</v>
      </c>
      <c r="C136" s="891" t="s">
        <v>1342</v>
      </c>
    </row>
    <row r="137" spans="2:3" ht="13.2" x14ac:dyDescent="0.25">
      <c r="B137" s="921" t="s">
        <v>289</v>
      </c>
      <c r="C137" s="891" t="s">
        <v>1342</v>
      </c>
    </row>
    <row r="138" spans="2:3" ht="13.2" x14ac:dyDescent="0.25">
      <c r="B138" s="946" t="s">
        <v>1344</v>
      </c>
      <c r="C138" s="891" t="s">
        <v>1342</v>
      </c>
    </row>
    <row r="139" spans="2:3" ht="13.2" x14ac:dyDescent="0.25">
      <c r="B139" s="921" t="s">
        <v>199</v>
      </c>
      <c r="C139" s="891" t="s">
        <v>1342</v>
      </c>
    </row>
    <row r="140" spans="2:3" ht="13.2" x14ac:dyDescent="0.25">
      <c r="B140" s="921" t="s">
        <v>978</v>
      </c>
      <c r="C140" s="891" t="s">
        <v>1342</v>
      </c>
    </row>
    <row r="141" spans="2:3" ht="13.2" x14ac:dyDescent="0.25">
      <c r="B141" s="921" t="s">
        <v>290</v>
      </c>
      <c r="C141" s="891" t="s">
        <v>1342</v>
      </c>
    </row>
    <row r="142" spans="2:3" ht="13.2" x14ac:dyDescent="0.25">
      <c r="B142" s="921" t="s">
        <v>979</v>
      </c>
      <c r="C142" s="891" t="s">
        <v>1342</v>
      </c>
    </row>
    <row r="143" spans="2:3" ht="13.2" x14ac:dyDescent="0.25">
      <c r="B143" s="921" t="s">
        <v>291</v>
      </c>
      <c r="C143" s="891" t="s">
        <v>1342</v>
      </c>
    </row>
    <row r="144" spans="2:3" ht="13.2" x14ac:dyDescent="0.25">
      <c r="B144" s="921" t="s">
        <v>292</v>
      </c>
      <c r="C144" s="891" t="s">
        <v>1342</v>
      </c>
    </row>
    <row r="145" spans="2:3" ht="13.2" x14ac:dyDescent="0.25">
      <c r="B145" s="921" t="s">
        <v>1111</v>
      </c>
      <c r="C145" s="891" t="s">
        <v>1342</v>
      </c>
    </row>
    <row r="146" spans="2:3" ht="13.2" x14ac:dyDescent="0.25">
      <c r="B146" s="921" t="s">
        <v>293</v>
      </c>
      <c r="C146" s="891" t="s">
        <v>1342</v>
      </c>
    </row>
    <row r="147" spans="2:3" ht="13.2" x14ac:dyDescent="0.25">
      <c r="B147" s="921" t="s">
        <v>294</v>
      </c>
      <c r="C147" s="891" t="s">
        <v>1342</v>
      </c>
    </row>
    <row r="148" spans="2:3" ht="13.2" x14ac:dyDescent="0.25">
      <c r="B148" s="921" t="s">
        <v>295</v>
      </c>
      <c r="C148" s="891" t="s">
        <v>1342</v>
      </c>
    </row>
    <row r="149" spans="2:3" ht="13.2" x14ac:dyDescent="0.25">
      <c r="B149" s="921" t="s">
        <v>296</v>
      </c>
      <c r="C149" s="891" t="s">
        <v>1342</v>
      </c>
    </row>
    <row r="150" spans="2:3" ht="13.2" x14ac:dyDescent="0.25">
      <c r="B150" s="921" t="s">
        <v>200</v>
      </c>
      <c r="C150" s="891" t="s">
        <v>1342</v>
      </c>
    </row>
    <row r="151" spans="2:3" ht="13.2" x14ac:dyDescent="0.25">
      <c r="B151" s="921" t="s">
        <v>297</v>
      </c>
      <c r="C151" s="891" t="s">
        <v>1342</v>
      </c>
    </row>
    <row r="152" spans="2:3" ht="13.2" x14ac:dyDescent="0.25">
      <c r="B152" s="921" t="s">
        <v>298</v>
      </c>
      <c r="C152" s="891" t="s">
        <v>1342</v>
      </c>
    </row>
    <row r="153" spans="2:3" ht="13.2" x14ac:dyDescent="0.25">
      <c r="B153" s="921" t="s">
        <v>299</v>
      </c>
      <c r="C153" s="891" t="s">
        <v>1342</v>
      </c>
    </row>
    <row r="154" spans="2:3" ht="13.2" x14ac:dyDescent="0.25">
      <c r="B154" s="946" t="s">
        <v>1112</v>
      </c>
      <c r="C154" s="891" t="s">
        <v>1342</v>
      </c>
    </row>
    <row r="155" spans="2:3" ht="13.2" x14ac:dyDescent="0.25">
      <c r="B155" s="921" t="s">
        <v>1103</v>
      </c>
      <c r="C155" s="891" t="s">
        <v>1342</v>
      </c>
    </row>
    <row r="156" spans="2:3" ht="13.2" x14ac:dyDescent="0.25">
      <c r="B156" s="921" t="s">
        <v>300</v>
      </c>
      <c r="C156" s="891" t="s">
        <v>1345</v>
      </c>
    </row>
    <row r="157" spans="2:3" ht="13.2" x14ac:dyDescent="0.25">
      <c r="B157" s="921" t="s">
        <v>301</v>
      </c>
      <c r="C157" s="891" t="s">
        <v>1345</v>
      </c>
    </row>
    <row r="158" spans="2:3" ht="13.2" x14ac:dyDescent="0.25">
      <c r="B158" s="921" t="s">
        <v>302</v>
      </c>
      <c r="C158" s="891" t="s">
        <v>1345</v>
      </c>
    </row>
    <row r="159" spans="2:3" ht="13.2" x14ac:dyDescent="0.25">
      <c r="B159" s="921" t="s">
        <v>303</v>
      </c>
      <c r="C159" s="891" t="s">
        <v>1345</v>
      </c>
    </row>
    <row r="160" spans="2:3" ht="13.2" x14ac:dyDescent="0.25">
      <c r="B160" s="921" t="s">
        <v>304</v>
      </c>
      <c r="C160" s="891" t="s">
        <v>1345</v>
      </c>
    </row>
    <row r="161" spans="2:3" ht="13.2" x14ac:dyDescent="0.25">
      <c r="B161" s="921" t="s">
        <v>205</v>
      </c>
      <c r="C161" s="891" t="s">
        <v>1345</v>
      </c>
    </row>
    <row r="162" spans="2:3" ht="13.2" x14ac:dyDescent="0.25">
      <c r="B162" s="921" t="s">
        <v>305</v>
      </c>
      <c r="C162" s="891" t="s">
        <v>1345</v>
      </c>
    </row>
    <row r="163" spans="2:3" ht="13.2" x14ac:dyDescent="0.25">
      <c r="B163" s="921" t="s">
        <v>306</v>
      </c>
      <c r="C163" s="891" t="s">
        <v>1345</v>
      </c>
    </row>
    <row r="164" spans="2:3" ht="13.2" x14ac:dyDescent="0.25">
      <c r="B164" s="921" t="s">
        <v>307</v>
      </c>
      <c r="C164" s="891" t="s">
        <v>1345</v>
      </c>
    </row>
    <row r="165" spans="2:3" ht="13.2" x14ac:dyDescent="0.25">
      <c r="B165" s="946" t="s">
        <v>1346</v>
      </c>
      <c r="C165" s="891" t="s">
        <v>1345</v>
      </c>
    </row>
    <row r="166" spans="2:3" ht="13.2" x14ac:dyDescent="0.25">
      <c r="B166" s="921" t="s">
        <v>206</v>
      </c>
      <c r="C166" s="891" t="s">
        <v>1345</v>
      </c>
    </row>
    <row r="167" spans="2:3" ht="13.2" x14ac:dyDescent="0.25">
      <c r="B167" s="921" t="s">
        <v>308</v>
      </c>
      <c r="C167" s="891" t="s">
        <v>1345</v>
      </c>
    </row>
    <row r="168" spans="2:3" ht="13.2" x14ac:dyDescent="0.25">
      <c r="B168" s="921" t="s">
        <v>309</v>
      </c>
      <c r="C168" s="891" t="s">
        <v>1345</v>
      </c>
    </row>
    <row r="169" spans="2:3" ht="13.2" x14ac:dyDescent="0.25">
      <c r="B169" s="921" t="s">
        <v>310</v>
      </c>
      <c r="C169" s="891" t="s">
        <v>1345</v>
      </c>
    </row>
    <row r="170" spans="2:3" ht="13.2" x14ac:dyDescent="0.25">
      <c r="B170" s="921" t="s">
        <v>311</v>
      </c>
      <c r="C170" s="891" t="s">
        <v>1345</v>
      </c>
    </row>
    <row r="171" spans="2:3" ht="13.2" x14ac:dyDescent="0.25">
      <c r="B171" s="921" t="s">
        <v>207</v>
      </c>
      <c r="C171" s="891" t="s">
        <v>1345</v>
      </c>
    </row>
    <row r="172" spans="2:3" ht="13.2" x14ac:dyDescent="0.25">
      <c r="B172" s="921" t="s">
        <v>312</v>
      </c>
      <c r="C172" s="891" t="s">
        <v>1345</v>
      </c>
    </row>
    <row r="173" spans="2:3" ht="13.2" x14ac:dyDescent="0.25">
      <c r="B173" s="921" t="s">
        <v>313</v>
      </c>
      <c r="C173" s="891" t="s">
        <v>1345</v>
      </c>
    </row>
    <row r="174" spans="2:3" ht="13.2" x14ac:dyDescent="0.25">
      <c r="B174" s="921" t="s">
        <v>314</v>
      </c>
      <c r="C174" s="891" t="s">
        <v>1345</v>
      </c>
    </row>
    <row r="175" spans="2:3" ht="13.2" x14ac:dyDescent="0.25">
      <c r="B175" s="921" t="s">
        <v>315</v>
      </c>
      <c r="C175" s="891" t="s">
        <v>1345</v>
      </c>
    </row>
    <row r="176" spans="2:3" ht="13.2" x14ac:dyDescent="0.25">
      <c r="B176" s="946" t="s">
        <v>1347</v>
      </c>
      <c r="C176" s="891" t="s">
        <v>1345</v>
      </c>
    </row>
    <row r="177" spans="2:3" ht="13.2" x14ac:dyDescent="0.25">
      <c r="B177" s="921" t="s">
        <v>208</v>
      </c>
      <c r="C177" s="891" t="s">
        <v>1345</v>
      </c>
    </row>
    <row r="178" spans="2:3" ht="13.2" x14ac:dyDescent="0.25">
      <c r="B178" s="921" t="s">
        <v>980</v>
      </c>
      <c r="C178" s="919" t="s">
        <v>1345</v>
      </c>
    </row>
    <row r="179" spans="2:3" ht="13.2" x14ac:dyDescent="0.25">
      <c r="B179" s="921" t="s">
        <v>316</v>
      </c>
      <c r="C179" s="919" t="s">
        <v>1345</v>
      </c>
    </row>
    <row r="180" spans="2:3" ht="13.2" x14ac:dyDescent="0.25">
      <c r="B180" s="921" t="s">
        <v>981</v>
      </c>
      <c r="C180" s="919" t="s">
        <v>1345</v>
      </c>
    </row>
    <row r="181" spans="2:3" ht="13.2" x14ac:dyDescent="0.25">
      <c r="B181" s="946" t="s">
        <v>1348</v>
      </c>
      <c r="C181" s="919" t="s">
        <v>1345</v>
      </c>
    </row>
    <row r="182" spans="2:3" ht="13.2" x14ac:dyDescent="0.25">
      <c r="B182" s="921" t="s">
        <v>1060</v>
      </c>
      <c r="C182" s="919" t="s">
        <v>1345</v>
      </c>
    </row>
    <row r="183" spans="2:3" ht="13.2" x14ac:dyDescent="0.25">
      <c r="B183" s="921" t="s">
        <v>317</v>
      </c>
      <c r="C183" s="919" t="s">
        <v>1349</v>
      </c>
    </row>
    <row r="184" spans="2:3" ht="13.2" x14ac:dyDescent="0.25">
      <c r="B184" s="921" t="s">
        <v>318</v>
      </c>
      <c r="C184" s="919" t="s">
        <v>1349</v>
      </c>
    </row>
    <row r="185" spans="2:3" ht="13.2" x14ac:dyDescent="0.25">
      <c r="B185" s="921" t="s">
        <v>319</v>
      </c>
      <c r="C185" s="919" t="s">
        <v>1349</v>
      </c>
    </row>
    <row r="186" spans="2:3" ht="13.2" x14ac:dyDescent="0.25">
      <c r="B186" s="921" t="s">
        <v>982</v>
      </c>
      <c r="C186" s="919" t="s">
        <v>1349</v>
      </c>
    </row>
    <row r="187" spans="2:3" ht="13.2" x14ac:dyDescent="0.25">
      <c r="B187" s="921" t="s">
        <v>320</v>
      </c>
      <c r="C187" s="919" t="s">
        <v>1349</v>
      </c>
    </row>
    <row r="188" spans="2:3" ht="13.2" x14ac:dyDescent="0.25">
      <c r="B188" s="921" t="s">
        <v>321</v>
      </c>
      <c r="C188" s="919" t="s">
        <v>1349</v>
      </c>
    </row>
    <row r="189" spans="2:3" ht="13.2" x14ac:dyDescent="0.25">
      <c r="B189" s="921" t="s">
        <v>322</v>
      </c>
      <c r="C189" s="919" t="s">
        <v>1349</v>
      </c>
    </row>
    <row r="190" spans="2:3" ht="13.2" x14ac:dyDescent="0.25">
      <c r="B190" s="921" t="s">
        <v>202</v>
      </c>
      <c r="C190" s="919" t="s">
        <v>1349</v>
      </c>
    </row>
    <row r="191" spans="2:3" ht="13.2" x14ac:dyDescent="0.25">
      <c r="B191" s="921" t="s">
        <v>983</v>
      </c>
      <c r="C191" s="919" t="s">
        <v>1349</v>
      </c>
    </row>
    <row r="192" spans="2:3" ht="13.2" x14ac:dyDescent="0.25">
      <c r="B192" s="921" t="s">
        <v>1065</v>
      </c>
      <c r="C192" s="919" t="s">
        <v>1349</v>
      </c>
    </row>
    <row r="193" spans="2:3" ht="13.2" x14ac:dyDescent="0.25">
      <c r="B193" s="921" t="s">
        <v>323</v>
      </c>
      <c r="C193" s="919" t="s">
        <v>1349</v>
      </c>
    </row>
    <row r="194" spans="2:3" ht="13.2" x14ac:dyDescent="0.25">
      <c r="B194" s="921" t="s">
        <v>324</v>
      </c>
      <c r="C194" s="919" t="s">
        <v>1349</v>
      </c>
    </row>
    <row r="195" spans="2:3" ht="13.2" x14ac:dyDescent="0.25">
      <c r="B195" s="921" t="s">
        <v>1066</v>
      </c>
      <c r="C195" s="919" t="s">
        <v>1349</v>
      </c>
    </row>
    <row r="196" spans="2:3" ht="13.2" x14ac:dyDescent="0.25">
      <c r="B196" s="921" t="s">
        <v>325</v>
      </c>
      <c r="C196" s="919" t="s">
        <v>1349</v>
      </c>
    </row>
    <row r="197" spans="2:3" ht="13.2" x14ac:dyDescent="0.25">
      <c r="B197" s="921" t="s">
        <v>203</v>
      </c>
      <c r="C197" s="919" t="s">
        <v>1349</v>
      </c>
    </row>
    <row r="198" spans="2:3" ht="13.2" x14ac:dyDescent="0.25">
      <c r="B198" s="921" t="s">
        <v>326</v>
      </c>
      <c r="C198" s="919" t="s">
        <v>1349</v>
      </c>
    </row>
    <row r="199" spans="2:3" ht="13.2" x14ac:dyDescent="0.25">
      <c r="B199" s="921" t="s">
        <v>327</v>
      </c>
      <c r="C199" s="919" t="s">
        <v>1349</v>
      </c>
    </row>
    <row r="200" spans="2:3" ht="13.2" x14ac:dyDescent="0.25">
      <c r="B200" s="921" t="s">
        <v>328</v>
      </c>
      <c r="C200" s="919" t="s">
        <v>1349</v>
      </c>
    </row>
    <row r="201" spans="2:3" ht="13.2" x14ac:dyDescent="0.25">
      <c r="B201" s="946" t="s">
        <v>1113</v>
      </c>
      <c r="C201" s="919" t="s">
        <v>1349</v>
      </c>
    </row>
    <row r="202" spans="2:3" ht="13.2" x14ac:dyDescent="0.25">
      <c r="B202" s="921" t="s">
        <v>204</v>
      </c>
      <c r="C202" s="919" t="s">
        <v>1349</v>
      </c>
    </row>
    <row r="203" spans="2:3" ht="13.2" x14ac:dyDescent="0.25">
      <c r="B203" s="921" t="s">
        <v>984</v>
      </c>
      <c r="C203" s="919" t="s">
        <v>1350</v>
      </c>
    </row>
    <row r="204" spans="2:3" ht="13.2" x14ac:dyDescent="0.25">
      <c r="B204" s="921" t="s">
        <v>385</v>
      </c>
      <c r="C204" s="919" t="s">
        <v>1350</v>
      </c>
    </row>
    <row r="205" spans="2:3" ht="13.2" x14ac:dyDescent="0.25">
      <c r="B205" s="921" t="s">
        <v>386</v>
      </c>
      <c r="C205" s="919" t="s">
        <v>1350</v>
      </c>
    </row>
    <row r="206" spans="2:3" ht="13.2" x14ac:dyDescent="0.25">
      <c r="B206" s="921" t="s">
        <v>975</v>
      </c>
      <c r="C206" s="919" t="s">
        <v>1350</v>
      </c>
    </row>
    <row r="207" spans="2:3" ht="13.2" x14ac:dyDescent="0.25">
      <c r="B207" s="921" t="s">
        <v>329</v>
      </c>
      <c r="C207" s="919" t="s">
        <v>1350</v>
      </c>
    </row>
    <row r="208" spans="2:3" ht="13.2" x14ac:dyDescent="0.25">
      <c r="B208" s="921" t="s">
        <v>330</v>
      </c>
      <c r="C208" s="919" t="s">
        <v>1350</v>
      </c>
    </row>
    <row r="209" spans="2:3" ht="13.2" x14ac:dyDescent="0.25">
      <c r="B209" s="921" t="s">
        <v>331</v>
      </c>
      <c r="C209" s="919" t="s">
        <v>1350</v>
      </c>
    </row>
    <row r="210" spans="2:3" ht="13.2" x14ac:dyDescent="0.25">
      <c r="B210" s="921" t="s">
        <v>332</v>
      </c>
      <c r="C210" s="919" t="s">
        <v>1350</v>
      </c>
    </row>
    <row r="211" spans="2:3" ht="13.2" x14ac:dyDescent="0.25">
      <c r="B211" s="921" t="s">
        <v>333</v>
      </c>
      <c r="C211" s="919" t="s">
        <v>1350</v>
      </c>
    </row>
    <row r="212" spans="2:3" ht="13.2" x14ac:dyDescent="0.25">
      <c r="B212" s="921" t="s">
        <v>334</v>
      </c>
      <c r="C212" s="919" t="s">
        <v>1350</v>
      </c>
    </row>
    <row r="213" spans="2:3" ht="13.2" x14ac:dyDescent="0.25">
      <c r="B213" s="921" t="s">
        <v>217</v>
      </c>
      <c r="C213" s="919" t="s">
        <v>1350</v>
      </c>
    </row>
    <row r="214" spans="2:3" ht="13.2" x14ac:dyDescent="0.25">
      <c r="B214" s="921" t="s">
        <v>335</v>
      </c>
      <c r="C214" s="919" t="s">
        <v>1350</v>
      </c>
    </row>
    <row r="215" spans="2:3" ht="13.2" x14ac:dyDescent="0.25">
      <c r="B215" s="921" t="s">
        <v>336</v>
      </c>
      <c r="C215" s="919" t="s">
        <v>1350</v>
      </c>
    </row>
    <row r="216" spans="2:3" ht="13.2" x14ac:dyDescent="0.25">
      <c r="B216" s="921" t="s">
        <v>337</v>
      </c>
      <c r="C216" s="919" t="s">
        <v>1350</v>
      </c>
    </row>
    <row r="217" spans="2:3" ht="13.2" x14ac:dyDescent="0.25">
      <c r="B217" s="921" t="s">
        <v>372</v>
      </c>
      <c r="C217" s="919" t="s">
        <v>1350</v>
      </c>
    </row>
    <row r="218" spans="2:3" ht="13.2" x14ac:dyDescent="0.25">
      <c r="B218" s="921" t="s">
        <v>373</v>
      </c>
      <c r="C218" s="919" t="s">
        <v>1350</v>
      </c>
    </row>
    <row r="219" spans="2:3" ht="13.2" x14ac:dyDescent="0.25">
      <c r="B219" s="921" t="s">
        <v>374</v>
      </c>
      <c r="C219" s="919" t="s">
        <v>1350</v>
      </c>
    </row>
    <row r="220" spans="2:3" ht="13.2" x14ac:dyDescent="0.25">
      <c r="B220" s="921" t="s">
        <v>375</v>
      </c>
      <c r="C220" s="919" t="s">
        <v>1350</v>
      </c>
    </row>
    <row r="221" spans="2:3" ht="13.2" x14ac:dyDescent="0.25">
      <c r="B221" s="921" t="s">
        <v>376</v>
      </c>
      <c r="C221" s="919" t="s">
        <v>1350</v>
      </c>
    </row>
    <row r="222" spans="2:3" ht="13.2" x14ac:dyDescent="0.25">
      <c r="B222" s="921" t="s">
        <v>1061</v>
      </c>
      <c r="C222" s="919" t="s">
        <v>1350</v>
      </c>
    </row>
    <row r="223" spans="2:3" ht="13.2" x14ac:dyDescent="0.25">
      <c r="B223" s="921" t="s">
        <v>377</v>
      </c>
      <c r="C223" s="919" t="s">
        <v>1350</v>
      </c>
    </row>
    <row r="224" spans="2:3" ht="13.2" x14ac:dyDescent="0.25">
      <c r="B224" s="921" t="s">
        <v>378</v>
      </c>
      <c r="C224" s="919" t="s">
        <v>1350</v>
      </c>
    </row>
    <row r="225" spans="2:3" ht="13.2" x14ac:dyDescent="0.25">
      <c r="B225" s="921" t="s">
        <v>379</v>
      </c>
      <c r="C225" s="919" t="s">
        <v>1350</v>
      </c>
    </row>
    <row r="226" spans="2:3" ht="13.2" x14ac:dyDescent="0.25">
      <c r="B226" s="921" t="s">
        <v>380</v>
      </c>
      <c r="C226" s="919" t="s">
        <v>1350</v>
      </c>
    </row>
    <row r="227" spans="2:3" ht="13.2" x14ac:dyDescent="0.25">
      <c r="B227" s="946" t="s">
        <v>1351</v>
      </c>
      <c r="C227" s="919" t="s">
        <v>1350</v>
      </c>
    </row>
    <row r="228" spans="2:3" ht="13.2" x14ac:dyDescent="0.25">
      <c r="B228" s="921" t="s">
        <v>1104</v>
      </c>
      <c r="C228" s="919" t="s">
        <v>1350</v>
      </c>
    </row>
    <row r="229" spans="2:3" ht="13.2" x14ac:dyDescent="0.25">
      <c r="B229" s="921" t="s">
        <v>381</v>
      </c>
      <c r="C229" s="919" t="s">
        <v>1350</v>
      </c>
    </row>
    <row r="230" spans="2:3" ht="13.2" x14ac:dyDescent="0.25">
      <c r="B230" s="921" t="s">
        <v>382</v>
      </c>
      <c r="C230" s="919" t="s">
        <v>1350</v>
      </c>
    </row>
    <row r="231" spans="2:3" ht="13.2" x14ac:dyDescent="0.25">
      <c r="B231" s="921" t="s">
        <v>383</v>
      </c>
      <c r="C231" s="919" t="s">
        <v>1350</v>
      </c>
    </row>
    <row r="232" spans="2:3" ht="13.2" x14ac:dyDescent="0.25">
      <c r="B232" s="921" t="s">
        <v>384</v>
      </c>
      <c r="C232" s="919" t="s">
        <v>1350</v>
      </c>
    </row>
    <row r="233" spans="2:3" ht="13.2" x14ac:dyDescent="0.25">
      <c r="B233" s="921" t="s">
        <v>218</v>
      </c>
      <c r="C233" s="919" t="s">
        <v>1350</v>
      </c>
    </row>
    <row r="234" spans="2:3" ht="13.2" x14ac:dyDescent="0.25">
      <c r="B234" s="921" t="s">
        <v>387</v>
      </c>
      <c r="C234" s="919" t="s">
        <v>1352</v>
      </c>
    </row>
    <row r="235" spans="2:3" ht="13.2" x14ac:dyDescent="0.25">
      <c r="B235" s="921" t="s">
        <v>388</v>
      </c>
      <c r="C235" s="919" t="s">
        <v>1352</v>
      </c>
    </row>
    <row r="236" spans="2:3" ht="13.2" x14ac:dyDescent="0.25">
      <c r="B236" s="921" t="s">
        <v>389</v>
      </c>
      <c r="C236" s="919" t="s">
        <v>1352</v>
      </c>
    </row>
    <row r="237" spans="2:3" ht="13.2" x14ac:dyDescent="0.25">
      <c r="B237" s="921" t="s">
        <v>390</v>
      </c>
      <c r="C237" s="919" t="s">
        <v>1352</v>
      </c>
    </row>
    <row r="238" spans="2:3" ht="13.2" x14ac:dyDescent="0.25">
      <c r="B238" s="921" t="s">
        <v>391</v>
      </c>
      <c r="C238" s="919" t="s">
        <v>1352</v>
      </c>
    </row>
    <row r="239" spans="2:3" ht="13.2" x14ac:dyDescent="0.25">
      <c r="B239" s="921" t="s">
        <v>209</v>
      </c>
      <c r="C239" s="919" t="s">
        <v>1352</v>
      </c>
    </row>
    <row r="240" spans="2:3" ht="13.2" x14ac:dyDescent="0.25">
      <c r="B240" s="921" t="s">
        <v>392</v>
      </c>
      <c r="C240" s="919" t="s">
        <v>1352</v>
      </c>
    </row>
    <row r="241" spans="2:3" ht="13.2" x14ac:dyDescent="0.25">
      <c r="B241" s="921" t="s">
        <v>393</v>
      </c>
      <c r="C241" s="919" t="s">
        <v>1352</v>
      </c>
    </row>
    <row r="242" spans="2:3" ht="13.2" x14ac:dyDescent="0.25">
      <c r="B242" s="921" t="s">
        <v>394</v>
      </c>
      <c r="C242" s="919" t="s">
        <v>1352</v>
      </c>
    </row>
    <row r="243" spans="2:3" ht="13.2" x14ac:dyDescent="0.25">
      <c r="B243" s="921" t="s">
        <v>395</v>
      </c>
      <c r="C243" s="919" t="s">
        <v>1352</v>
      </c>
    </row>
    <row r="244" spans="2:3" ht="13.2" x14ac:dyDescent="0.25">
      <c r="B244" s="921" t="s">
        <v>396</v>
      </c>
      <c r="C244" s="919" t="s">
        <v>1352</v>
      </c>
    </row>
    <row r="245" spans="2:3" ht="13.2" x14ac:dyDescent="0.25">
      <c r="B245" s="921" t="s">
        <v>210</v>
      </c>
      <c r="C245" s="919" t="s">
        <v>1352</v>
      </c>
    </row>
    <row r="246" spans="2:3" ht="13.2" x14ac:dyDescent="0.25">
      <c r="B246" s="921" t="s">
        <v>397</v>
      </c>
      <c r="C246" s="919" t="s">
        <v>1352</v>
      </c>
    </row>
    <row r="247" spans="2:3" ht="13.2" x14ac:dyDescent="0.25">
      <c r="B247" s="921" t="s">
        <v>398</v>
      </c>
      <c r="C247" s="919" t="s">
        <v>1352</v>
      </c>
    </row>
    <row r="248" spans="2:3" ht="13.2" x14ac:dyDescent="0.25">
      <c r="B248" s="921" t="s">
        <v>399</v>
      </c>
      <c r="C248" s="919" t="s">
        <v>1352</v>
      </c>
    </row>
    <row r="249" spans="2:3" ht="13.2" x14ac:dyDescent="0.25">
      <c r="B249" s="921" t="s">
        <v>400</v>
      </c>
      <c r="C249" s="919" t="s">
        <v>1352</v>
      </c>
    </row>
    <row r="250" spans="2:3" ht="13.2" x14ac:dyDescent="0.25">
      <c r="B250" s="921" t="s">
        <v>1105</v>
      </c>
      <c r="C250" s="919" t="s">
        <v>1352</v>
      </c>
    </row>
    <row r="251" spans="2:3" ht="13.2" x14ac:dyDescent="0.25">
      <c r="B251" s="921" t="s">
        <v>211</v>
      </c>
      <c r="C251" s="919" t="s">
        <v>1352</v>
      </c>
    </row>
    <row r="252" spans="2:3" ht="13.2" x14ac:dyDescent="0.25">
      <c r="B252" s="921" t="s">
        <v>401</v>
      </c>
      <c r="C252" s="919" t="s">
        <v>1352</v>
      </c>
    </row>
    <row r="253" spans="2:3" ht="13.2" x14ac:dyDescent="0.25">
      <c r="B253" s="921" t="s">
        <v>402</v>
      </c>
      <c r="C253" s="919" t="s">
        <v>1352</v>
      </c>
    </row>
    <row r="254" spans="2:3" ht="13.2" x14ac:dyDescent="0.25">
      <c r="B254" s="946" t="s">
        <v>1353</v>
      </c>
      <c r="C254" s="919" t="s">
        <v>1352</v>
      </c>
    </row>
    <row r="255" spans="2:3" ht="13.2" x14ac:dyDescent="0.25">
      <c r="B255" s="921" t="s">
        <v>212</v>
      </c>
      <c r="C255" s="919" t="s">
        <v>1352</v>
      </c>
    </row>
    <row r="256" spans="2:3" ht="13.2" x14ac:dyDescent="0.25">
      <c r="B256" s="921" t="s">
        <v>1073</v>
      </c>
      <c r="C256" s="919" t="s">
        <v>1354</v>
      </c>
    </row>
    <row r="257" spans="2:3" ht="13.2" x14ac:dyDescent="0.25">
      <c r="B257" s="921" t="s">
        <v>403</v>
      </c>
      <c r="C257" s="919" t="s">
        <v>1354</v>
      </c>
    </row>
    <row r="258" spans="2:3" ht="13.2" x14ac:dyDescent="0.25">
      <c r="B258" s="921" t="s">
        <v>404</v>
      </c>
      <c r="C258" s="919" t="s">
        <v>1354</v>
      </c>
    </row>
    <row r="259" spans="2:3" ht="13.2" x14ac:dyDescent="0.25">
      <c r="B259" s="921" t="s">
        <v>405</v>
      </c>
      <c r="C259" s="919" t="s">
        <v>1354</v>
      </c>
    </row>
    <row r="260" spans="2:3" ht="13.2" x14ac:dyDescent="0.25">
      <c r="B260" s="921" t="s">
        <v>406</v>
      </c>
      <c r="C260" s="919" t="s">
        <v>1354</v>
      </c>
    </row>
    <row r="261" spans="2:3" ht="13.2" x14ac:dyDescent="0.25">
      <c r="B261" s="921" t="s">
        <v>407</v>
      </c>
      <c r="C261" s="919" t="s">
        <v>1354</v>
      </c>
    </row>
    <row r="262" spans="2:3" ht="13.2" x14ac:dyDescent="0.25">
      <c r="B262" s="921" t="s">
        <v>185</v>
      </c>
      <c r="C262" s="919" t="s">
        <v>1354</v>
      </c>
    </row>
    <row r="263" spans="2:3" ht="13.2" x14ac:dyDescent="0.25">
      <c r="B263" s="921" t="s">
        <v>408</v>
      </c>
      <c r="C263" s="919" t="s">
        <v>1354</v>
      </c>
    </row>
    <row r="264" spans="2:3" ht="13.2" x14ac:dyDescent="0.25">
      <c r="B264" s="921" t="s">
        <v>409</v>
      </c>
      <c r="C264" s="919" t="s">
        <v>1354</v>
      </c>
    </row>
    <row r="265" spans="2:3" ht="13.2" x14ac:dyDescent="0.25">
      <c r="B265" s="921" t="s">
        <v>410</v>
      </c>
      <c r="C265" s="919" t="s">
        <v>1354</v>
      </c>
    </row>
    <row r="266" spans="2:3" ht="13.2" x14ac:dyDescent="0.25">
      <c r="B266" s="921" t="s">
        <v>411</v>
      </c>
      <c r="C266" s="919" t="s">
        <v>1354</v>
      </c>
    </row>
    <row r="267" spans="2:3" ht="13.2" x14ac:dyDescent="0.25">
      <c r="B267" s="921" t="s">
        <v>985</v>
      </c>
      <c r="C267" s="919" t="s">
        <v>1354</v>
      </c>
    </row>
    <row r="268" spans="2:3" ht="13.2" x14ac:dyDescent="0.25">
      <c r="B268" s="921" t="s">
        <v>1059</v>
      </c>
      <c r="C268" s="919" t="s">
        <v>1354</v>
      </c>
    </row>
    <row r="269" spans="2:3" ht="13.2" x14ac:dyDescent="0.25">
      <c r="B269" s="921" t="s">
        <v>412</v>
      </c>
      <c r="C269" s="919" t="s">
        <v>1354</v>
      </c>
    </row>
    <row r="270" spans="2:3" ht="13.2" x14ac:dyDescent="0.25">
      <c r="B270" s="921" t="s">
        <v>413</v>
      </c>
      <c r="C270" s="919" t="s">
        <v>1354</v>
      </c>
    </row>
    <row r="271" spans="2:3" ht="13.2" x14ac:dyDescent="0.25">
      <c r="B271" s="921" t="s">
        <v>414</v>
      </c>
      <c r="C271" s="919" t="s">
        <v>1354</v>
      </c>
    </row>
    <row r="272" spans="2:3" ht="13.2" x14ac:dyDescent="0.25">
      <c r="B272" s="921" t="s">
        <v>415</v>
      </c>
      <c r="C272" s="919" t="s">
        <v>1354</v>
      </c>
    </row>
    <row r="273" spans="2:3" ht="13.2" x14ac:dyDescent="0.25">
      <c r="B273" s="921" t="s">
        <v>201</v>
      </c>
      <c r="C273" s="919" t="s">
        <v>1354</v>
      </c>
    </row>
    <row r="274" spans="2:3" ht="13.2" x14ac:dyDescent="0.25">
      <c r="B274" s="921" t="s">
        <v>416</v>
      </c>
      <c r="C274" s="919" t="s">
        <v>1354</v>
      </c>
    </row>
    <row r="275" spans="2:3" ht="13.2" x14ac:dyDescent="0.25">
      <c r="B275" s="921" t="s">
        <v>417</v>
      </c>
      <c r="C275" s="919" t="s">
        <v>1354</v>
      </c>
    </row>
    <row r="276" spans="2:3" ht="13.2" x14ac:dyDescent="0.25">
      <c r="B276" s="921" t="s">
        <v>418</v>
      </c>
      <c r="C276" s="919" t="s">
        <v>1354</v>
      </c>
    </row>
    <row r="277" spans="2:3" ht="13.2" x14ac:dyDescent="0.25">
      <c r="B277" s="921" t="s">
        <v>419</v>
      </c>
      <c r="C277" s="919" t="s">
        <v>1354</v>
      </c>
    </row>
    <row r="278" spans="2:3" ht="13.2" x14ac:dyDescent="0.25">
      <c r="B278" s="921" t="s">
        <v>420</v>
      </c>
      <c r="C278" s="919" t="s">
        <v>1354</v>
      </c>
    </row>
    <row r="279" spans="2:3" ht="13.2" x14ac:dyDescent="0.25">
      <c r="B279" s="921" t="s">
        <v>421</v>
      </c>
      <c r="C279" s="919" t="s">
        <v>1354</v>
      </c>
    </row>
    <row r="280" spans="2:3" ht="13.2" x14ac:dyDescent="0.25">
      <c r="B280" s="921" t="s">
        <v>422</v>
      </c>
      <c r="C280" s="919" t="s">
        <v>1354</v>
      </c>
    </row>
    <row r="281" spans="2:3" ht="13.2" x14ac:dyDescent="0.25">
      <c r="B281" s="921" t="s">
        <v>1355</v>
      </c>
      <c r="C281" s="919" t="s">
        <v>1354</v>
      </c>
    </row>
    <row r="282" spans="2:3" ht="13.2" x14ac:dyDescent="0.25">
      <c r="B282" s="921" t="s">
        <v>423</v>
      </c>
      <c r="C282" s="919" t="s">
        <v>1354</v>
      </c>
    </row>
    <row r="283" spans="2:3" ht="13.2" x14ac:dyDescent="0.25">
      <c r="B283" s="921" t="s">
        <v>424</v>
      </c>
      <c r="C283" s="919" t="s">
        <v>1354</v>
      </c>
    </row>
    <row r="284" spans="2:3" ht="13.2" x14ac:dyDescent="0.25">
      <c r="B284" s="921" t="s">
        <v>425</v>
      </c>
      <c r="C284" s="919" t="s">
        <v>1354</v>
      </c>
    </row>
    <row r="285" spans="2:3" ht="13.2" x14ac:dyDescent="0.25">
      <c r="B285" s="921" t="s">
        <v>216</v>
      </c>
      <c r="C285" s="919" t="s">
        <v>1354</v>
      </c>
    </row>
    <row r="286" spans="2:3" ht="13.2" x14ac:dyDescent="0.25">
      <c r="B286" s="889"/>
      <c r="C286" s="890"/>
    </row>
    <row r="287" spans="2:3" ht="13.2" x14ac:dyDescent="0.25">
      <c r="B287" s="889"/>
      <c r="C287" s="890"/>
    </row>
    <row r="288" spans="2:3" ht="13.2" x14ac:dyDescent="0.25">
      <c r="B288" s="889"/>
      <c r="C288" s="890"/>
    </row>
    <row r="289" spans="2:3" ht="13.2" x14ac:dyDescent="0.25">
      <c r="B289" s="889"/>
      <c r="C289" s="890"/>
    </row>
    <row r="290" spans="2:3" ht="13.2" x14ac:dyDescent="0.25">
      <c r="B290" s="889"/>
      <c r="C290" s="890"/>
    </row>
    <row r="291" spans="2:3" ht="13.2" x14ac:dyDescent="0.25">
      <c r="B291" s="889"/>
      <c r="C291" s="890"/>
    </row>
    <row r="292" spans="2:3" ht="13.2" x14ac:dyDescent="0.25">
      <c r="B292" s="889"/>
      <c r="C292" s="890"/>
    </row>
    <row r="293" spans="2:3" ht="13.2" x14ac:dyDescent="0.25">
      <c r="B293" s="889"/>
      <c r="C293" s="890"/>
    </row>
    <row r="294" spans="2:3" ht="13.2" x14ac:dyDescent="0.25">
      <c r="B294" s="889"/>
      <c r="C294" s="890"/>
    </row>
    <row r="295" spans="2:3" ht="13.2" x14ac:dyDescent="0.25">
      <c r="B295" s="889"/>
      <c r="C295" s="890"/>
    </row>
    <row r="296" spans="2:3" ht="13.2" x14ac:dyDescent="0.25">
      <c r="B296" s="889"/>
      <c r="C296" s="890"/>
    </row>
    <row r="297" spans="2:3" ht="13.2" x14ac:dyDescent="0.25">
      <c r="B297" s="889"/>
      <c r="C297" s="890"/>
    </row>
    <row r="298" spans="2:3" ht="13.2" x14ac:dyDescent="0.25">
      <c r="B298" s="889"/>
      <c r="C298" s="890"/>
    </row>
    <row r="299" spans="2:3" ht="13.2" x14ac:dyDescent="0.25">
      <c r="B299" s="889"/>
      <c r="C299" s="890"/>
    </row>
    <row r="300" spans="2:3" ht="13.2" x14ac:dyDescent="0.25">
      <c r="B300" s="889"/>
      <c r="C300" s="890"/>
    </row>
    <row r="301" spans="2:3" ht="13.2" x14ac:dyDescent="0.25">
      <c r="B301" s="889"/>
      <c r="C301" s="890"/>
    </row>
    <row r="302" spans="2:3" ht="13.2" x14ac:dyDescent="0.25">
      <c r="B302" s="889"/>
      <c r="C302" s="890"/>
    </row>
    <row r="303" spans="2:3" ht="13.2" x14ac:dyDescent="0.25">
      <c r="B303" s="889"/>
      <c r="C303" s="890"/>
    </row>
    <row r="304" spans="2:3" ht="13.2" x14ac:dyDescent="0.25">
      <c r="B304" s="889"/>
      <c r="C304" s="890"/>
    </row>
    <row r="305" spans="2:3" ht="13.2" x14ac:dyDescent="0.25">
      <c r="B305" s="889"/>
      <c r="C305" s="890"/>
    </row>
    <row r="306" spans="2:3" ht="13.2"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09375" defaultRowHeight="10.199999999999999" x14ac:dyDescent="0.2"/>
  <cols>
    <col min="1" max="1" width="37.5546875" style="796" customWidth="1"/>
    <col min="2" max="2" width="7.6640625" style="798" customWidth="1"/>
    <col min="3" max="3" width="47.88671875" style="797" customWidth="1"/>
    <col min="4" max="4" width="20" style="796" hidden="1" customWidth="1"/>
    <col min="5" max="5" width="43.44140625" style="796" customWidth="1"/>
    <col min="6" max="16384" width="9.109375" style="796"/>
  </cols>
  <sheetData>
    <row r="1" spans="1:5" ht="35.25" customHeight="1" x14ac:dyDescent="0.25">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ColWidth="9.109375" defaultRowHeight="13.8" x14ac:dyDescent="0.3"/>
  <cols>
    <col min="1" max="1" width="20.6640625" style="812" customWidth="1"/>
    <col min="2" max="2" width="40.6640625" style="812" customWidth="1"/>
    <col min="3" max="3" width="20.6640625" style="812" customWidth="1"/>
    <col min="4" max="4" width="40.6640625" style="812" customWidth="1"/>
    <col min="5" max="5" width="8.88671875" style="812" customWidth="1"/>
    <col min="6" max="10" width="8.6640625" style="813" customWidth="1"/>
    <col min="11" max="15" width="12.88671875" style="813" customWidth="1"/>
    <col min="16" max="17" width="30.6640625" style="813" customWidth="1"/>
    <col min="18" max="16384" width="9.109375" style="434"/>
  </cols>
  <sheetData>
    <row r="1" spans="1:17" ht="13.5" customHeight="1" x14ac:dyDescent="0.3">
      <c r="A1" s="685" t="str">
        <f>muni&amp;" - "&amp;" Contact Information"</f>
        <v>KZN225 Msunduzi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KZN KWAZULU-NATAL</v>
      </c>
      <c r="C8" s="1023"/>
      <c r="D8" s="1023"/>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c r="C10" s="845"/>
      <c r="D10" s="846"/>
      <c r="F10" s="823"/>
      <c r="G10" s="822"/>
      <c r="H10" s="823"/>
      <c r="I10" s="823"/>
      <c r="J10" s="822"/>
      <c r="K10" s="824"/>
      <c r="L10" s="824"/>
      <c r="M10" s="824"/>
      <c r="N10" s="824"/>
      <c r="O10" s="824"/>
      <c r="P10" s="825"/>
      <c r="Q10" s="826"/>
    </row>
    <row r="11" spans="1:17" ht="13.5" customHeight="1" x14ac:dyDescent="0.3">
      <c r="A11" s="847"/>
      <c r="B11" s="848"/>
      <c r="C11" s="1024"/>
      <c r="D11" s="1025"/>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26"/>
      <c r="D13" s="1026"/>
      <c r="F13" s="823"/>
      <c r="G13" s="823"/>
      <c r="H13" s="823"/>
      <c r="I13" s="853"/>
      <c r="J13" s="823"/>
      <c r="K13" s="824"/>
      <c r="L13" s="824"/>
      <c r="M13" s="824"/>
      <c r="N13" s="824"/>
      <c r="O13" s="824"/>
      <c r="P13" s="825"/>
    </row>
    <row r="14" spans="1:17" ht="13.5" customHeight="1" thickBot="1" x14ac:dyDescent="0.35">
      <c r="A14" s="1027" t="s">
        <v>345</v>
      </c>
      <c r="B14" s="1028"/>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c r="C16" s="812"/>
      <c r="D16" s="812"/>
      <c r="E16" s="834"/>
      <c r="F16" s="854"/>
      <c r="G16" s="853"/>
      <c r="H16" s="854"/>
      <c r="I16" s="854"/>
      <c r="J16" s="823"/>
      <c r="K16" s="824"/>
      <c r="L16" s="824"/>
      <c r="M16" s="824"/>
      <c r="N16" s="824"/>
      <c r="O16" s="824"/>
      <c r="P16" s="825"/>
      <c r="Q16" s="813"/>
    </row>
    <row r="17" spans="1:17" ht="13.5" customHeight="1" x14ac:dyDescent="0.3">
      <c r="A17" s="857" t="s">
        <v>348</v>
      </c>
      <c r="B17" s="858"/>
      <c r="F17" s="854"/>
      <c r="G17" s="854"/>
      <c r="H17" s="854"/>
      <c r="I17" s="854"/>
      <c r="J17" s="853"/>
      <c r="K17" s="824"/>
      <c r="L17" s="824"/>
      <c r="M17" s="824"/>
      <c r="N17" s="824"/>
      <c r="O17" s="824"/>
      <c r="P17" s="825"/>
    </row>
    <row r="18" spans="1:17" ht="13.5" customHeight="1" x14ac:dyDescent="0.3">
      <c r="A18" s="859" t="s">
        <v>349</v>
      </c>
      <c r="B18" s="860"/>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c r="F21" s="854"/>
      <c r="G21" s="854"/>
      <c r="H21" s="854"/>
      <c r="I21" s="854"/>
      <c r="J21" s="854"/>
      <c r="K21" s="824"/>
      <c r="L21" s="824"/>
      <c r="M21" s="824"/>
      <c r="N21" s="824"/>
      <c r="O21" s="824"/>
      <c r="P21" s="825"/>
    </row>
    <row r="22" spans="1:17" ht="13.5" customHeight="1" x14ac:dyDescent="0.3">
      <c r="A22" s="857" t="s">
        <v>352</v>
      </c>
      <c r="B22" s="858"/>
      <c r="F22" s="854"/>
      <c r="G22" s="854"/>
      <c r="H22" s="854"/>
      <c r="I22" s="854"/>
      <c r="J22" s="854"/>
      <c r="K22" s="824"/>
      <c r="L22" s="824"/>
      <c r="M22" s="824"/>
      <c r="N22" s="824"/>
      <c r="O22" s="824"/>
      <c r="P22" s="825"/>
    </row>
    <row r="23" spans="1:17" ht="13.5" customHeight="1" x14ac:dyDescent="0.3">
      <c r="A23" s="857" t="s">
        <v>348</v>
      </c>
      <c r="B23" s="858"/>
      <c r="F23" s="854"/>
      <c r="G23" s="854"/>
      <c r="H23" s="854"/>
      <c r="I23" s="854"/>
      <c r="J23" s="854"/>
      <c r="K23" s="824"/>
      <c r="L23" s="824"/>
      <c r="M23" s="824"/>
      <c r="N23" s="824"/>
      <c r="O23" s="824"/>
      <c r="P23" s="825"/>
    </row>
    <row r="24" spans="1:17" ht="13.5" customHeight="1" x14ac:dyDescent="0.3">
      <c r="A24" s="859" t="s">
        <v>349</v>
      </c>
      <c r="B24" s="860"/>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29" t="s">
        <v>356</v>
      </c>
      <c r="B30" s="1030"/>
      <c r="C30" s="1021"/>
      <c r="D30" s="1031"/>
      <c r="P30" s="825"/>
    </row>
    <row r="31" spans="1:17" ht="13.5" customHeight="1" thickTop="1" x14ac:dyDescent="0.3">
      <c r="A31" s="863" t="s">
        <v>357</v>
      </c>
      <c r="B31" s="864"/>
      <c r="C31" s="1011" t="s">
        <v>358</v>
      </c>
      <c r="D31" s="1017"/>
      <c r="P31" s="825"/>
    </row>
    <row r="32" spans="1:17" s="921" customFormat="1" ht="13.5" customHeight="1" x14ac:dyDescent="0.3">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3">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3">
      <c r="A34" s="857" t="s">
        <v>359</v>
      </c>
      <c r="B34" s="869"/>
      <c r="C34" s="857" t="s">
        <v>359</v>
      </c>
      <c r="D34" s="869"/>
      <c r="P34" s="825"/>
    </row>
    <row r="35" spans="1:17" ht="13.5" customHeight="1" x14ac:dyDescent="0.3">
      <c r="A35" s="857" t="s">
        <v>354</v>
      </c>
      <c r="B35" s="869"/>
      <c r="C35" s="857" t="s">
        <v>354</v>
      </c>
      <c r="D35" s="869"/>
      <c r="F35" s="822"/>
      <c r="G35" s="824"/>
      <c r="P35" s="825"/>
    </row>
    <row r="36" spans="1:17" ht="13.5" customHeight="1" x14ac:dyDescent="0.3">
      <c r="A36" s="857" t="s">
        <v>360</v>
      </c>
      <c r="B36" s="869"/>
      <c r="C36" s="857" t="s">
        <v>360</v>
      </c>
      <c r="D36" s="869"/>
      <c r="F36" s="822"/>
      <c r="G36" s="824"/>
      <c r="P36" s="825"/>
    </row>
    <row r="37" spans="1:17" ht="13.5" customHeight="1" x14ac:dyDescent="0.3">
      <c r="A37" s="857" t="s">
        <v>355</v>
      </c>
      <c r="B37" s="869"/>
      <c r="C37" s="857" t="s">
        <v>355</v>
      </c>
      <c r="D37" s="869"/>
      <c r="F37" s="823"/>
      <c r="G37" s="824"/>
      <c r="P37" s="825"/>
    </row>
    <row r="38" spans="1:17" ht="13.5" customHeight="1" x14ac:dyDescent="0.3">
      <c r="A38" s="857" t="s">
        <v>361</v>
      </c>
      <c r="B38" s="869"/>
      <c r="C38" s="857" t="s">
        <v>361</v>
      </c>
      <c r="D38" s="869"/>
      <c r="F38" s="823"/>
      <c r="G38" s="824"/>
      <c r="P38" s="825"/>
    </row>
    <row r="39" spans="1:17" ht="13.5" customHeight="1" x14ac:dyDescent="0.3">
      <c r="A39" s="857"/>
      <c r="B39" s="869"/>
      <c r="C39" s="857"/>
      <c r="D39" s="869"/>
      <c r="F39" s="823"/>
      <c r="G39" s="824"/>
      <c r="P39" s="825"/>
    </row>
    <row r="40" spans="1:17" ht="13.5" customHeight="1" x14ac:dyDescent="0.3">
      <c r="A40" s="1013" t="s">
        <v>362</v>
      </c>
      <c r="B40" s="1018"/>
      <c r="C40" s="1013" t="s">
        <v>363</v>
      </c>
      <c r="D40" s="1018"/>
      <c r="F40" s="823"/>
      <c r="G40" s="824"/>
      <c r="P40" s="825"/>
    </row>
    <row r="41" spans="1:17" s="921" customFormat="1" ht="13.5" customHeight="1" x14ac:dyDescent="0.3">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3">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3">
      <c r="A43" s="857" t="s">
        <v>359</v>
      </c>
      <c r="B43" s="858"/>
      <c r="C43" s="857" t="s">
        <v>359</v>
      </c>
      <c r="D43" s="858"/>
      <c r="F43" s="823"/>
      <c r="G43" s="824"/>
      <c r="P43" s="825"/>
    </row>
    <row r="44" spans="1:17" ht="13.5" customHeight="1" x14ac:dyDescent="0.3">
      <c r="A44" s="857" t="s">
        <v>354</v>
      </c>
      <c r="B44" s="858"/>
      <c r="C44" s="857" t="s">
        <v>354</v>
      </c>
      <c r="D44" s="858"/>
      <c r="F44" s="853"/>
      <c r="G44" s="824"/>
      <c r="P44" s="825"/>
    </row>
    <row r="45" spans="1:17" ht="13.5" customHeight="1" x14ac:dyDescent="0.3">
      <c r="A45" s="857" t="s">
        <v>360</v>
      </c>
      <c r="B45" s="858"/>
      <c r="C45" s="857" t="s">
        <v>360</v>
      </c>
      <c r="D45" s="858"/>
      <c r="F45" s="854"/>
      <c r="G45" s="824"/>
      <c r="P45" s="825"/>
    </row>
    <row r="46" spans="1:17" ht="13.5" customHeight="1" x14ac:dyDescent="0.3">
      <c r="A46" s="857" t="s">
        <v>355</v>
      </c>
      <c r="B46" s="858"/>
      <c r="C46" s="857" t="s">
        <v>355</v>
      </c>
      <c r="D46" s="858"/>
      <c r="F46" s="854"/>
      <c r="G46" s="824"/>
      <c r="P46" s="825"/>
    </row>
    <row r="47" spans="1:17" ht="13.5" customHeight="1" x14ac:dyDescent="0.3">
      <c r="A47" s="870" t="s">
        <v>361</v>
      </c>
      <c r="B47" s="871"/>
      <c r="C47" s="870" t="s">
        <v>361</v>
      </c>
      <c r="D47" s="871"/>
      <c r="F47" s="854"/>
      <c r="G47" s="824"/>
      <c r="P47" s="825"/>
    </row>
    <row r="48" spans="1:17" ht="13.5" customHeight="1" x14ac:dyDescent="0.3">
      <c r="A48" s="861"/>
      <c r="B48" s="868"/>
      <c r="C48" s="861"/>
      <c r="D48" s="868"/>
      <c r="F48" s="854"/>
      <c r="G48" s="824"/>
      <c r="P48" s="825"/>
    </row>
    <row r="49" spans="1:17" ht="13.5" customHeight="1" x14ac:dyDescent="0.3">
      <c r="A49" s="1013" t="s">
        <v>364</v>
      </c>
      <c r="B49" s="1018"/>
      <c r="C49" s="1013" t="s">
        <v>365</v>
      </c>
      <c r="D49" s="1018"/>
      <c r="F49" s="854"/>
      <c r="G49" s="824"/>
      <c r="P49" s="825"/>
    </row>
    <row r="50" spans="1:17" s="921" customFormat="1" ht="13.5" customHeight="1" x14ac:dyDescent="0.3">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3">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19" t="s">
        <v>366</v>
      </c>
      <c r="B58" s="1020"/>
      <c r="C58" s="1021"/>
      <c r="D58" s="1022"/>
      <c r="E58" s="812"/>
      <c r="F58" s="854"/>
      <c r="G58" s="824"/>
      <c r="P58" s="825"/>
    </row>
    <row r="59" spans="1:17" s="874" customFormat="1" ht="13.5" customHeight="1" thickTop="1" x14ac:dyDescent="0.3">
      <c r="A59" s="863" t="s">
        <v>367</v>
      </c>
      <c r="B59" s="864"/>
      <c r="C59" s="1011" t="s">
        <v>368</v>
      </c>
      <c r="D59" s="1012"/>
      <c r="E59" s="814"/>
      <c r="F59" s="872"/>
      <c r="G59" s="873"/>
      <c r="P59" s="825"/>
      <c r="Q59" s="813"/>
    </row>
    <row r="60" spans="1:17" s="921" customFormat="1" ht="13.5" customHeight="1" x14ac:dyDescent="0.3">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3">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3">
      <c r="A62" s="857" t="s">
        <v>359</v>
      </c>
      <c r="B62" s="858"/>
      <c r="C62" s="857" t="s">
        <v>359</v>
      </c>
      <c r="D62" s="858"/>
      <c r="E62" s="814"/>
      <c r="F62" s="872"/>
      <c r="G62" s="873"/>
      <c r="P62" s="825"/>
      <c r="Q62" s="813"/>
    </row>
    <row r="63" spans="1:17" s="813" customFormat="1" ht="13.5" customHeight="1" x14ac:dyDescent="0.3">
      <c r="A63" s="857" t="s">
        <v>354</v>
      </c>
      <c r="B63" s="858"/>
      <c r="C63" s="857" t="s">
        <v>354</v>
      </c>
      <c r="D63" s="858"/>
      <c r="E63" s="812"/>
      <c r="F63" s="854"/>
      <c r="G63" s="824"/>
      <c r="P63" s="825"/>
    </row>
    <row r="64" spans="1:17" s="813" customFormat="1" ht="13.5" customHeight="1" x14ac:dyDescent="0.3">
      <c r="A64" s="857" t="s">
        <v>360</v>
      </c>
      <c r="B64" s="858"/>
      <c r="C64" s="857" t="s">
        <v>360</v>
      </c>
      <c r="D64" s="858"/>
      <c r="E64" s="812"/>
      <c r="F64" s="854"/>
      <c r="G64" s="824"/>
      <c r="P64" s="825"/>
    </row>
    <row r="65" spans="1:17" s="813" customFormat="1" ht="13.5" customHeight="1" x14ac:dyDescent="0.3">
      <c r="A65" s="857" t="s">
        <v>355</v>
      </c>
      <c r="B65" s="858"/>
      <c r="C65" s="857" t="s">
        <v>355</v>
      </c>
      <c r="D65" s="858"/>
      <c r="E65" s="812"/>
      <c r="F65" s="854"/>
      <c r="G65" s="824"/>
      <c r="P65" s="825"/>
    </row>
    <row r="66" spans="1:17" ht="13.5" customHeight="1" x14ac:dyDescent="0.3">
      <c r="A66" s="859" t="s">
        <v>361</v>
      </c>
      <c r="B66" s="867"/>
      <c r="C66" s="859" t="s">
        <v>361</v>
      </c>
      <c r="D66" s="867"/>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13" t="s">
        <v>370</v>
      </c>
      <c r="D68" s="1014"/>
      <c r="F68" s="854"/>
      <c r="G68" s="824"/>
      <c r="P68" s="825"/>
    </row>
    <row r="69" spans="1:17" s="921" customFormat="1" ht="13.5" customHeight="1" x14ac:dyDescent="0.3">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3">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3">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3">
      <c r="A72" s="857" t="s">
        <v>354</v>
      </c>
      <c r="B72" s="858" t="s">
        <v>1448</v>
      </c>
      <c r="C72" s="857" t="s">
        <v>354</v>
      </c>
      <c r="D72" s="858"/>
      <c r="F72" s="854"/>
      <c r="G72" s="824"/>
      <c r="P72" s="825"/>
    </row>
    <row r="73" spans="1:17" ht="13.5" customHeight="1" x14ac:dyDescent="0.3">
      <c r="A73" s="857" t="s">
        <v>360</v>
      </c>
      <c r="B73" s="858"/>
      <c r="C73" s="857" t="s">
        <v>360</v>
      </c>
      <c r="D73" s="858"/>
      <c r="F73" s="854"/>
      <c r="G73" s="824"/>
      <c r="P73" s="825"/>
    </row>
    <row r="74" spans="1:17" ht="13.5" customHeight="1" x14ac:dyDescent="0.3">
      <c r="A74" s="857" t="s">
        <v>355</v>
      </c>
      <c r="B74" s="858"/>
      <c r="C74" s="857" t="s">
        <v>355</v>
      </c>
      <c r="D74" s="858"/>
      <c r="F74" s="854"/>
      <c r="G74" s="824"/>
      <c r="P74" s="825"/>
    </row>
    <row r="75" spans="1:17" ht="13.5" customHeight="1" x14ac:dyDescent="0.3">
      <c r="A75" s="859" t="s">
        <v>361</v>
      </c>
      <c r="B75" s="867"/>
      <c r="C75" s="859" t="s">
        <v>361</v>
      </c>
      <c r="D75" s="867"/>
      <c r="F75" s="854"/>
      <c r="G75" s="824"/>
      <c r="P75" s="825"/>
    </row>
    <row r="76" spans="1:17" ht="13.5" customHeight="1" x14ac:dyDescent="0.3">
      <c r="A76" s="861"/>
      <c r="B76" s="868"/>
      <c r="C76" s="861"/>
      <c r="D76" s="868"/>
      <c r="F76" s="854"/>
      <c r="G76" s="824"/>
      <c r="P76" s="825"/>
    </row>
    <row r="77" spans="1:17" s="921" customFormat="1" ht="13.5" customHeight="1" x14ac:dyDescent="0.3">
      <c r="A77" s="1015" t="s">
        <v>371</v>
      </c>
      <c r="B77" s="1016"/>
      <c r="C77" s="1015" t="s">
        <v>371</v>
      </c>
      <c r="D77" s="1016"/>
      <c r="E77" s="918"/>
      <c r="F77" s="922"/>
      <c r="G77" s="923"/>
      <c r="H77" s="919"/>
      <c r="I77" s="646"/>
      <c r="J77" s="646"/>
      <c r="K77" s="646"/>
      <c r="L77" s="646"/>
      <c r="M77" s="646"/>
      <c r="N77" s="646"/>
      <c r="O77" s="646"/>
      <c r="P77" s="920"/>
      <c r="Q77" s="919"/>
    </row>
    <row r="78" spans="1:17" s="921" customFormat="1" ht="13.5" customHeight="1" x14ac:dyDescent="0.3">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3">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3">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3">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3">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3">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3">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3">
      <c r="A85" s="1015" t="s">
        <v>371</v>
      </c>
      <c r="B85" s="1016"/>
      <c r="C85" s="1015" t="s">
        <v>371</v>
      </c>
      <c r="D85" s="1016"/>
      <c r="E85" s="918"/>
      <c r="F85" s="922"/>
      <c r="G85" s="923"/>
      <c r="H85" s="919"/>
      <c r="I85" s="646"/>
      <c r="J85" s="646"/>
      <c r="K85" s="646"/>
      <c r="L85" s="646"/>
      <c r="M85" s="646"/>
      <c r="N85" s="646"/>
      <c r="O85" s="646"/>
      <c r="P85" s="920"/>
      <c r="Q85" s="919"/>
    </row>
    <row r="86" spans="1:17" s="921" customFormat="1" ht="13.5" customHeight="1" x14ac:dyDescent="0.3">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3">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3">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3">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3">
      <c r="A90" s="916" t="s">
        <v>360</v>
      </c>
      <c r="B90" s="917"/>
      <c r="C90" s="916" t="s">
        <v>360</v>
      </c>
      <c r="D90" s="917"/>
      <c r="E90" s="918"/>
      <c r="F90" s="922"/>
      <c r="G90" s="923"/>
      <c r="I90" s="646"/>
      <c r="J90" s="646"/>
      <c r="K90" s="646"/>
      <c r="L90" s="646"/>
      <c r="M90" s="646"/>
      <c r="N90" s="646"/>
      <c r="O90" s="646"/>
      <c r="P90" s="920"/>
    </row>
    <row r="91" spans="1:17" s="919" customFormat="1" ht="13.5" customHeight="1" x14ac:dyDescent="0.3">
      <c r="A91" s="916" t="s">
        <v>355</v>
      </c>
      <c r="B91" s="917"/>
      <c r="C91" s="916" t="s">
        <v>355</v>
      </c>
      <c r="D91" s="917"/>
      <c r="E91" s="918"/>
      <c r="F91" s="922"/>
      <c r="G91" s="923"/>
      <c r="I91" s="646"/>
      <c r="J91" s="646"/>
      <c r="K91" s="646"/>
      <c r="L91" s="646"/>
      <c r="M91" s="646"/>
      <c r="N91" s="646"/>
      <c r="O91" s="646"/>
      <c r="P91" s="920"/>
    </row>
    <row r="92" spans="1:17" s="919" customFormat="1" ht="13.5" customHeight="1" x14ac:dyDescent="0.3">
      <c r="A92" s="916" t="s">
        <v>361</v>
      </c>
      <c r="B92" s="917"/>
      <c r="C92" s="916" t="s">
        <v>361</v>
      </c>
      <c r="D92" s="917"/>
      <c r="E92" s="918"/>
      <c r="F92" s="922"/>
      <c r="G92" s="923"/>
      <c r="I92" s="646"/>
      <c r="J92" s="646"/>
      <c r="K92" s="646"/>
      <c r="L92" s="646"/>
      <c r="M92" s="646"/>
      <c r="N92" s="646"/>
      <c r="O92" s="646"/>
      <c r="P92" s="920"/>
    </row>
    <row r="93" spans="1:17" s="919" customFormat="1" ht="13.5" customHeight="1" x14ac:dyDescent="0.3">
      <c r="A93" s="1015" t="s">
        <v>371</v>
      </c>
      <c r="B93" s="1016"/>
      <c r="C93" s="1015" t="s">
        <v>371</v>
      </c>
      <c r="D93" s="1016"/>
      <c r="E93" s="918"/>
      <c r="F93" s="922"/>
      <c r="G93" s="923"/>
      <c r="I93" s="646"/>
      <c r="J93" s="646"/>
      <c r="K93" s="646"/>
      <c r="L93" s="646"/>
      <c r="M93" s="646"/>
      <c r="N93" s="646"/>
      <c r="O93" s="646"/>
      <c r="P93" s="920"/>
    </row>
    <row r="94" spans="1:17" s="921" customFormat="1" ht="13.5" customHeight="1" x14ac:dyDescent="0.3">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3">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3">
      <c r="A96" s="916" t="s">
        <v>359</v>
      </c>
      <c r="B96" s="917"/>
      <c r="C96" s="916" t="s">
        <v>359</v>
      </c>
      <c r="D96" s="917"/>
      <c r="E96" s="918"/>
      <c r="F96" s="922"/>
      <c r="G96" s="923"/>
      <c r="I96" s="646"/>
      <c r="J96" s="646"/>
      <c r="K96" s="646"/>
      <c r="L96" s="646"/>
      <c r="M96" s="646"/>
      <c r="N96" s="646"/>
      <c r="O96" s="646"/>
      <c r="P96" s="920"/>
    </row>
    <row r="97" spans="1:17" s="919" customFormat="1" ht="13.5" customHeight="1" x14ac:dyDescent="0.3">
      <c r="A97" s="916" t="s">
        <v>354</v>
      </c>
      <c r="B97" s="917"/>
      <c r="C97" s="916" t="s">
        <v>354</v>
      </c>
      <c r="D97" s="917"/>
      <c r="E97" s="918"/>
      <c r="F97" s="922"/>
      <c r="G97" s="923"/>
      <c r="I97" s="646"/>
      <c r="J97" s="646"/>
      <c r="K97" s="646"/>
      <c r="L97" s="646"/>
      <c r="M97" s="646"/>
      <c r="N97" s="646"/>
      <c r="O97" s="646"/>
      <c r="P97" s="920"/>
    </row>
    <row r="98" spans="1:17" s="919" customFormat="1" ht="13.5" customHeight="1" x14ac:dyDescent="0.3">
      <c r="A98" s="916" t="s">
        <v>360</v>
      </c>
      <c r="B98" s="917"/>
      <c r="C98" s="916" t="s">
        <v>360</v>
      </c>
      <c r="D98" s="917"/>
      <c r="E98" s="918"/>
      <c r="F98" s="922"/>
      <c r="G98" s="923"/>
      <c r="I98" s="646"/>
      <c r="J98" s="646"/>
      <c r="K98" s="646"/>
      <c r="L98" s="646"/>
      <c r="M98" s="646"/>
      <c r="N98" s="646"/>
      <c r="O98" s="646"/>
      <c r="P98" s="920"/>
    </row>
    <row r="99" spans="1:17" s="919" customFormat="1" ht="13.5" customHeight="1" x14ac:dyDescent="0.3">
      <c r="A99" s="916" t="s">
        <v>355</v>
      </c>
      <c r="B99" s="917"/>
      <c r="C99" s="916" t="s">
        <v>355</v>
      </c>
      <c r="D99" s="917"/>
      <c r="E99" s="918"/>
      <c r="F99" s="922"/>
      <c r="G99" s="923"/>
      <c r="I99" s="646"/>
      <c r="J99" s="646"/>
      <c r="K99" s="646"/>
      <c r="L99" s="646"/>
      <c r="M99" s="646"/>
      <c r="N99" s="646"/>
      <c r="O99" s="646"/>
      <c r="P99" s="920"/>
    </row>
    <row r="100" spans="1:17" s="919" customFormat="1" ht="13.5" customHeight="1" x14ac:dyDescent="0.3">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3">
      <c r="A101" s="1015" t="s">
        <v>371</v>
      </c>
      <c r="B101" s="1016"/>
      <c r="C101" s="1015" t="s">
        <v>371</v>
      </c>
      <c r="D101" s="1016"/>
      <c r="E101" s="918"/>
      <c r="F101" s="922"/>
      <c r="G101" s="923"/>
      <c r="I101" s="646"/>
      <c r="J101" s="646"/>
      <c r="K101" s="646"/>
      <c r="L101" s="646"/>
      <c r="M101" s="646"/>
      <c r="N101" s="646"/>
      <c r="O101" s="646"/>
      <c r="P101" s="920"/>
    </row>
    <row r="102" spans="1:17" s="921" customFormat="1" ht="13.5" customHeight="1" x14ac:dyDescent="0.3">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3">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3">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3">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3">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3">
      <c r="A107" s="916" t="s">
        <v>355</v>
      </c>
      <c r="B107" s="917"/>
      <c r="C107" s="916" t="s">
        <v>355</v>
      </c>
      <c r="D107" s="917"/>
      <c r="E107" s="932"/>
      <c r="F107" s="922"/>
      <c r="G107" s="923"/>
      <c r="P107" s="920"/>
      <c r="Q107" s="919"/>
    </row>
    <row r="108" spans="1:17" s="646" customFormat="1" ht="12.75" customHeight="1" x14ac:dyDescent="0.3">
      <c r="A108" s="916" t="s">
        <v>361</v>
      </c>
      <c r="B108" s="917"/>
      <c r="C108" s="916" t="s">
        <v>361</v>
      </c>
      <c r="D108" s="917"/>
      <c r="E108" s="932"/>
      <c r="F108" s="922"/>
      <c r="G108" s="923"/>
      <c r="P108" s="920"/>
      <c r="Q108" s="919"/>
    </row>
    <row r="109" spans="1:17" s="919" customFormat="1" ht="12.75" customHeight="1" x14ac:dyDescent="0.3">
      <c r="A109" s="1015" t="s">
        <v>371</v>
      </c>
      <c r="B109" s="1016"/>
      <c r="C109" s="1015" t="s">
        <v>371</v>
      </c>
      <c r="D109" s="1016"/>
      <c r="E109" s="918"/>
      <c r="I109" s="646"/>
      <c r="J109" s="646"/>
      <c r="K109" s="646"/>
      <c r="L109" s="646"/>
      <c r="M109" s="646"/>
      <c r="N109" s="646"/>
      <c r="O109" s="646"/>
      <c r="P109" s="920"/>
    </row>
    <row r="110" spans="1:17" s="921" customFormat="1" ht="13.5" customHeight="1" x14ac:dyDescent="0.3">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3">
      <c r="A111" s="916" t="s">
        <v>1116</v>
      </c>
      <c r="B111" s="917"/>
      <c r="C111" s="916" t="s">
        <v>1116</v>
      </c>
      <c r="D111" s="917"/>
      <c r="E111" s="918"/>
      <c r="I111" s="646"/>
      <c r="J111" s="646"/>
      <c r="K111" s="646"/>
      <c r="L111" s="646"/>
      <c r="M111" s="646"/>
      <c r="N111" s="646"/>
      <c r="O111" s="646"/>
      <c r="P111" s="920"/>
    </row>
    <row r="112" spans="1:17" s="919" customFormat="1" ht="12.75" customHeight="1" x14ac:dyDescent="0.3">
      <c r="A112" s="916" t="s">
        <v>359</v>
      </c>
      <c r="B112" s="917"/>
      <c r="C112" s="916" t="s">
        <v>359</v>
      </c>
      <c r="D112" s="917"/>
      <c r="E112" s="918"/>
      <c r="I112" s="646"/>
      <c r="J112" s="646"/>
      <c r="K112" s="646"/>
      <c r="L112" s="646"/>
      <c r="M112" s="646"/>
      <c r="N112" s="646"/>
      <c r="O112" s="646"/>
      <c r="P112" s="920"/>
    </row>
    <row r="113" spans="1:25" s="919" customFormat="1" ht="12.75" customHeight="1" x14ac:dyDescent="0.3">
      <c r="A113" s="916" t="s">
        <v>354</v>
      </c>
      <c r="B113" s="917"/>
      <c r="C113" s="916" t="s">
        <v>354</v>
      </c>
      <c r="D113" s="917"/>
      <c r="E113" s="918"/>
      <c r="I113" s="646"/>
      <c r="J113" s="646"/>
      <c r="K113" s="646"/>
      <c r="L113" s="646"/>
      <c r="M113" s="646"/>
      <c r="N113" s="646"/>
      <c r="O113" s="646"/>
      <c r="P113" s="920"/>
    </row>
    <row r="114" spans="1:25" s="921" customFormat="1" ht="12.75" customHeight="1" x14ac:dyDescent="0.3">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3">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3">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3">
      <c r="A117" s="1015" t="s">
        <v>371</v>
      </c>
      <c r="B117" s="1016"/>
      <c r="C117" s="1015" t="s">
        <v>371</v>
      </c>
      <c r="D117" s="1016"/>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3">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3">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3">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3">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3">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3">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3">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3">
      <c r="A125" s="1015" t="s">
        <v>371</v>
      </c>
      <c r="B125" s="1016"/>
      <c r="C125" s="1015" t="s">
        <v>371</v>
      </c>
      <c r="D125" s="1016"/>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3">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3">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3">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3">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3">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3">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3">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3">
      <c r="A133" s="1015" t="s">
        <v>371</v>
      </c>
      <c r="B133" s="1016"/>
      <c r="C133" s="1032"/>
      <c r="D133" s="1033"/>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3">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3">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3">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3">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3">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3">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3">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sqref="A1:J53"/>
    </sheetView>
  </sheetViews>
  <sheetFormatPr defaultColWidth="9.109375" defaultRowHeight="10.199999999999999" x14ac:dyDescent="0.2"/>
  <cols>
    <col min="1" max="1" width="30.6640625" style="25" customWidth="1"/>
    <col min="2" max="7" width="8.6640625" style="25" customWidth="1"/>
    <col min="8" max="8" width="6.6640625" style="25" customWidth="1"/>
    <col min="9" max="9" width="6.6640625" style="68" customWidth="1"/>
    <col min="10" max="11" width="8.6640625" style="25" customWidth="1"/>
    <col min="12" max="14" width="7.6640625" style="25" customWidth="1"/>
    <col min="15" max="16384" width="9.109375" style="25"/>
  </cols>
  <sheetData>
    <row r="1" spans="1:10" ht="13.8" x14ac:dyDescent="0.3">
      <c r="A1" s="346" t="str">
        <f>muni&amp; " - "&amp;s71sum&amp; " - "&amp;date</f>
        <v>KZN225 Msunduzi - Table C1 Consolidated Monthly Budget Statement Summary - Q1 First Quarter</v>
      </c>
      <c r="B1" s="346"/>
      <c r="C1" s="346"/>
      <c r="D1" s="346"/>
      <c r="E1" s="346"/>
      <c r="F1" s="346"/>
      <c r="G1" s="346"/>
      <c r="H1" s="346"/>
      <c r="I1" s="346"/>
      <c r="J1" s="346"/>
    </row>
    <row r="2" spans="1:10" x14ac:dyDescent="0.2">
      <c r="A2" s="1035" t="str">
        <f>desc</f>
        <v>Description</v>
      </c>
      <c r="B2" s="158" t="str">
        <f>Head1</f>
        <v>2019/20</v>
      </c>
      <c r="C2" s="1037" t="str">
        <f>Head2</f>
        <v>Budget Year 2020/21</v>
      </c>
      <c r="D2" s="1038"/>
      <c r="E2" s="1038"/>
      <c r="F2" s="1038"/>
      <c r="G2" s="1038"/>
      <c r="H2" s="1038"/>
      <c r="I2" s="1038"/>
      <c r="J2" s="1039"/>
    </row>
    <row r="3" spans="1:10" ht="20.399999999999999" x14ac:dyDescent="0.2">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
      <c r="A4" s="188" t="s">
        <v>667</v>
      </c>
      <c r="B4" s="19"/>
      <c r="C4" s="222"/>
      <c r="D4" s="82"/>
      <c r="E4" s="82"/>
      <c r="F4" s="82"/>
      <c r="G4" s="82"/>
      <c r="H4" s="82"/>
      <c r="I4" s="242" t="s">
        <v>575</v>
      </c>
      <c r="J4" s="223"/>
    </row>
    <row r="5" spans="1:10" ht="12.75" customHeight="1" x14ac:dyDescent="0.2">
      <c r="A5" s="155" t="s">
        <v>748</v>
      </c>
      <c r="B5" s="172"/>
      <c r="C5" s="191"/>
      <c r="D5" s="192"/>
      <c r="E5" s="192"/>
      <c r="F5" s="192"/>
      <c r="G5" s="192"/>
      <c r="H5" s="192"/>
      <c r="I5" s="200"/>
      <c r="J5" s="193"/>
    </row>
    <row r="6" spans="1:10" ht="12.75" customHeight="1" x14ac:dyDescent="0.2">
      <c r="A6" s="152" t="s">
        <v>931</v>
      </c>
      <c r="B6" s="648">
        <f>SUM('C4-FinPerf RE'!C6:C6)</f>
        <v>0</v>
      </c>
      <c r="C6" s="649">
        <f>SUM('C4-FinPerf RE'!D6:D6)</f>
        <v>1269794594.0217998</v>
      </c>
      <c r="D6" s="408">
        <f>SUM('C4-FinPerf RE'!E6:E6)</f>
        <v>0</v>
      </c>
      <c r="E6" s="408">
        <f>SUM('C4-FinPerf RE'!F6:F6)</f>
        <v>103982579.58999999</v>
      </c>
      <c r="F6" s="408">
        <f>SUM('C4-FinPerf RE'!G6:G6)</f>
        <v>308020926.50000006</v>
      </c>
      <c r="G6" s="650">
        <f>SUM('C4-FinPerf RE'!H6:H6)</f>
        <v>317448648.50544995</v>
      </c>
      <c r="H6" s="408">
        <f>F6-G6</f>
        <v>-9427722.0054498911</v>
      </c>
      <c r="I6" s="591">
        <f>IF(H6=0,"",H6/G6)</f>
        <v>-2.9698415948014457E-2</v>
      </c>
      <c r="J6" s="642">
        <f>SUM('C4-FinPerf RE'!K6:K6)</f>
        <v>1269794594.0217998</v>
      </c>
    </row>
    <row r="7" spans="1:10" ht="12.75" customHeight="1" x14ac:dyDescent="0.2">
      <c r="A7" s="152" t="s">
        <v>962</v>
      </c>
      <c r="B7" s="648">
        <f>SUM('C4-FinPerf RE'!C7:C10)</f>
        <v>0</v>
      </c>
      <c r="C7" s="649">
        <f>SUM('C4-FinPerf RE'!D7:D10)</f>
        <v>3575763602.2929115</v>
      </c>
      <c r="D7" s="408">
        <f>SUM('C4-FinPerf RE'!E7:E10)</f>
        <v>0</v>
      </c>
      <c r="E7" s="408">
        <f>SUM('C4-FinPerf RE'!F7:F10)</f>
        <v>292382015.51999998</v>
      </c>
      <c r="F7" s="408">
        <f>SUM('C4-FinPerf RE'!G7:G10)</f>
        <v>887607777.18000007</v>
      </c>
      <c r="G7" s="650">
        <f>SUM('C4-FinPerf RE'!H7:H10)</f>
        <v>893940900.57322788</v>
      </c>
      <c r="H7" s="408">
        <f>F7-G7</f>
        <v>-6333123.3932278156</v>
      </c>
      <c r="I7" s="207">
        <f>IF(H7=0,"",H7/G7)</f>
        <v>-7.0844989743357569E-3</v>
      </c>
      <c r="J7" s="642">
        <f>SUM('C4-FinPerf RE'!K7:K10)</f>
        <v>3575763602.2929115</v>
      </c>
    </row>
    <row r="8" spans="1:10" ht="12.75" customHeight="1" x14ac:dyDescent="0.2">
      <c r="A8" s="152" t="s">
        <v>496</v>
      </c>
      <c r="B8" s="648">
        <f>'C4-FinPerf RE'!C13</f>
        <v>0</v>
      </c>
      <c r="C8" s="649">
        <f>'C4-FinPerf RE'!D13</f>
        <v>15260422.42725</v>
      </c>
      <c r="D8" s="408">
        <f>'C4-FinPerf RE'!E13</f>
        <v>0</v>
      </c>
      <c r="E8" s="408">
        <f>'C4-FinPerf RE'!F13</f>
        <v>1017012.24</v>
      </c>
      <c r="F8" s="408">
        <f>'C4-FinPerf RE'!G13</f>
        <v>1897637.6800000004</v>
      </c>
      <c r="G8" s="650">
        <f>'C4-FinPerf RE'!H13</f>
        <v>3815105.6068125004</v>
      </c>
      <c r="H8" s="408">
        <f>F8-G8</f>
        <v>-1917467.9268125</v>
      </c>
      <c r="I8" s="207">
        <f>IF(H8=0,"",H8/G8)</f>
        <v>-0.50259891191178163</v>
      </c>
      <c r="J8" s="642">
        <f>'C4-FinPerf RE'!K13</f>
        <v>15260422.42725</v>
      </c>
    </row>
    <row r="9" spans="1:10" ht="12.75" customHeight="1" x14ac:dyDescent="0.2">
      <c r="A9" s="152" t="s">
        <v>1118</v>
      </c>
      <c r="B9" s="648">
        <f>'C4-FinPerf RE'!C19</f>
        <v>0</v>
      </c>
      <c r="C9" s="649">
        <f>'C4-FinPerf RE'!D19</f>
        <v>675483240</v>
      </c>
      <c r="D9" s="408">
        <f>'C4-FinPerf RE'!E19</f>
        <v>0</v>
      </c>
      <c r="E9" s="408">
        <f>'C4-FinPerf RE'!F19</f>
        <v>6547812.129999999</v>
      </c>
      <c r="F9" s="408">
        <f>'C4-FinPerf RE'!G19</f>
        <v>280889803.22000003</v>
      </c>
      <c r="G9" s="650">
        <f>'C4-FinPerf RE'!H19</f>
        <v>168870810</v>
      </c>
      <c r="H9" s="408">
        <f>F9-G9</f>
        <v>112018993.22000003</v>
      </c>
      <c r="I9" s="207">
        <f>IF(H9=0,"",H9/G9)</f>
        <v>0.6633413626665261</v>
      </c>
      <c r="J9" s="642">
        <f>'C4-FinPerf RE'!K19</f>
        <v>675483240</v>
      </c>
    </row>
    <row r="10" spans="1:10" ht="12.75" customHeight="1" x14ac:dyDescent="0.2">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21947073.359999996</v>
      </c>
      <c r="F10" s="409">
        <f>'C4-FinPerf RE'!G12+'C4-FinPerf RE'!G14+'C4-FinPerf RE'!G15+'C4-FinPerf RE'!G16+'C4-FinPerf RE'!G17+'C4-FinPerf RE'!G18+'C4-FinPerf RE'!G20+'C4-FinPerf RE'!G21</f>
        <v>49529680.969999999</v>
      </c>
      <c r="G10" s="653">
        <f>'C4-FinPerf RE'!H12+'C4-FinPerf RE'!H14+'C4-FinPerf RE'!H15+'C4-FinPerf RE'!H16+'C4-FinPerf RE'!H17+'C4-FinPerf RE'!H18+'C4-FinPerf RE'!H20+'C4-FinPerf RE'!H21</f>
        <v>95377099.782524973</v>
      </c>
      <c r="H10" s="409">
        <f>F10-G10</f>
        <v>-45847418.812524974</v>
      </c>
      <c r="I10" s="208">
        <f>IF(H10=0,"",H10/G10)</f>
        <v>-0.48069629834692412</v>
      </c>
      <c r="J10" s="654">
        <f>'C4-FinPerf RE'!K12+'C4-FinPerf RE'!K14+'C4-FinPerf RE'!K15+'C4-FinPerf RE'!K16+'C4-FinPerf RE'!K17+'C4-FinPerf RE'!K18+'C4-FinPerf RE'!K20+'C4-FinPerf RE'!K21</f>
        <v>381508399.13009989</v>
      </c>
    </row>
    <row r="11" spans="1:10" ht="23.25" customHeight="1" x14ac:dyDescent="0.2">
      <c r="A11" s="582" t="s">
        <v>134</v>
      </c>
      <c r="B11" s="655">
        <f t="shared" ref="B11:J11" si="0">SUM(B6:B10)</f>
        <v>0</v>
      </c>
      <c r="C11" s="656">
        <f t="shared" si="0"/>
        <v>5917810257.8720617</v>
      </c>
      <c r="D11" s="657">
        <f t="shared" si="0"/>
        <v>0</v>
      </c>
      <c r="E11" s="657">
        <f t="shared" si="0"/>
        <v>425876492.83999997</v>
      </c>
      <c r="F11" s="657">
        <f t="shared" si="0"/>
        <v>1527945825.5500002</v>
      </c>
      <c r="G11" s="658">
        <f t="shared" si="0"/>
        <v>1479452564.4680154</v>
      </c>
      <c r="H11" s="657">
        <f t="shared" ref="H11:H25" si="1">F11-G11</f>
        <v>48493261.081984758</v>
      </c>
      <c r="I11" s="593">
        <f t="shared" ref="I11:I25" si="2">IF(H11=0,"",H11/G11)</f>
        <v>3.2777841105991842E-2</v>
      </c>
      <c r="J11" s="659">
        <f t="shared" si="0"/>
        <v>5917810257.8720617</v>
      </c>
    </row>
    <row r="12" spans="1:10" ht="12.75" customHeight="1" x14ac:dyDescent="0.2">
      <c r="A12" s="152" t="s">
        <v>475</v>
      </c>
      <c r="B12" s="648">
        <f>'C4-FinPerf RE'!C25</f>
        <v>0</v>
      </c>
      <c r="C12" s="649">
        <f>'C4-FinPerf RE'!D25</f>
        <v>1478324301.5741799</v>
      </c>
      <c r="D12" s="408">
        <f>'C4-FinPerf RE'!E25</f>
        <v>0</v>
      </c>
      <c r="E12" s="408">
        <f>'C4-FinPerf RE'!F25</f>
        <v>109814603.89999999</v>
      </c>
      <c r="F12" s="408">
        <f>'C4-FinPerf RE'!G25</f>
        <v>324895196.61000025</v>
      </c>
      <c r="G12" s="650">
        <f>'C4-FinPerf RE'!H25</f>
        <v>369581075.39354497</v>
      </c>
      <c r="H12" s="408">
        <f t="shared" si="1"/>
        <v>-44685878.783544719</v>
      </c>
      <c r="I12" s="207">
        <f t="shared" si="2"/>
        <v>-0.12090954261108033</v>
      </c>
      <c r="J12" s="642">
        <f>'C4-FinPerf RE'!K25</f>
        <v>1478324301.5741799</v>
      </c>
    </row>
    <row r="13" spans="1:10" ht="12.75" customHeight="1" x14ac:dyDescent="0.2">
      <c r="A13" s="152" t="s">
        <v>842</v>
      </c>
      <c r="B13" s="648">
        <f>'C4-FinPerf RE'!C26</f>
        <v>0</v>
      </c>
      <c r="C13" s="649">
        <f>'C4-FinPerf RE'!D26</f>
        <v>53650401.115479976</v>
      </c>
      <c r="D13" s="408">
        <f>'C4-FinPerf RE'!E26</f>
        <v>0</v>
      </c>
      <c r="E13" s="408">
        <f>'C4-FinPerf RE'!F26</f>
        <v>6257037.5000000019</v>
      </c>
      <c r="F13" s="408">
        <f>'C4-FinPerf RE'!G26</f>
        <v>13624377.690000001</v>
      </c>
      <c r="G13" s="650">
        <f>'C4-FinPerf RE'!H26</f>
        <v>13412600.278869994</v>
      </c>
      <c r="H13" s="408">
        <f t="shared" si="1"/>
        <v>211777.41113000736</v>
      </c>
      <c r="I13" s="207">
        <f t="shared" si="2"/>
        <v>1.5789437299763436E-2</v>
      </c>
      <c r="J13" s="642">
        <f>'C4-FinPerf RE'!K26</f>
        <v>53650401.115479976</v>
      </c>
    </row>
    <row r="14" spans="1:10" ht="12.75" customHeight="1" x14ac:dyDescent="0.2">
      <c r="A14" s="581" t="s">
        <v>664</v>
      </c>
      <c r="B14" s="648">
        <f>'C4-FinPerf RE'!C28</f>
        <v>0</v>
      </c>
      <c r="C14" s="649">
        <f>'C4-FinPerf RE'!D28</f>
        <v>489941448.27473986</v>
      </c>
      <c r="D14" s="408">
        <f>'C4-FinPerf RE'!E28</f>
        <v>0</v>
      </c>
      <c r="E14" s="408">
        <f>'C4-FinPerf RE'!F28</f>
        <v>34060965.559999987</v>
      </c>
      <c r="F14" s="408">
        <f>'C4-FinPerf RE'!G28</f>
        <v>106245839.76999991</v>
      </c>
      <c r="G14" s="650">
        <f>'C4-FinPerf RE'!H28</f>
        <v>122485362.06868497</v>
      </c>
      <c r="H14" s="408">
        <f t="shared" si="1"/>
        <v>-16239522.298685059</v>
      </c>
      <c r="I14" s="207">
        <f t="shared" si="2"/>
        <v>-0.13258337179571364</v>
      </c>
      <c r="J14" s="642">
        <f>'C4-FinPerf RE'!K28</f>
        <v>489941448.27473986</v>
      </c>
    </row>
    <row r="15" spans="1:10" ht="12.75" customHeight="1" x14ac:dyDescent="0.2">
      <c r="A15" s="152" t="s">
        <v>452</v>
      </c>
      <c r="B15" s="648">
        <f>'C4-FinPerf RE'!C29</f>
        <v>0</v>
      </c>
      <c r="C15" s="649">
        <f>'C4-FinPerf RE'!D29</f>
        <v>31793212.220000003</v>
      </c>
      <c r="D15" s="408">
        <f>'C4-FinPerf RE'!E29</f>
        <v>0</v>
      </c>
      <c r="E15" s="408">
        <f>'C4-FinPerf RE'!F29</f>
        <v>3119835.02</v>
      </c>
      <c r="F15" s="408">
        <f>'C4-FinPerf RE'!G29</f>
        <v>10409452.350000001</v>
      </c>
      <c r="G15" s="650">
        <f>'C4-FinPerf RE'!H29</f>
        <v>7948303.0550000016</v>
      </c>
      <c r="H15" s="408">
        <f t="shared" si="1"/>
        <v>2461149.2949999999</v>
      </c>
      <c r="I15" s="207">
        <f t="shared" si="2"/>
        <v>0.30964462199912929</v>
      </c>
      <c r="J15" s="642">
        <f>'C4-FinPerf RE'!K29</f>
        <v>31793212.220000003</v>
      </c>
    </row>
    <row r="16" spans="1:10" ht="12.75" customHeight="1" x14ac:dyDescent="0.2">
      <c r="A16" s="152" t="s">
        <v>495</v>
      </c>
      <c r="B16" s="648">
        <f>SUM('C4-FinPerf RE'!C30:C31)</f>
        <v>0</v>
      </c>
      <c r="C16" s="649">
        <f>SUM('C4-FinPerf RE'!D30:D31)</f>
        <v>2654837499.1911387</v>
      </c>
      <c r="D16" s="408">
        <f>SUM('C4-FinPerf RE'!E30:E31)</f>
        <v>0</v>
      </c>
      <c r="E16" s="408">
        <f>SUM('C4-FinPerf RE'!F30:F31)</f>
        <v>521149610.66000003</v>
      </c>
      <c r="F16" s="408">
        <f>SUM('C4-FinPerf RE'!G30:G31)</f>
        <v>870018352.68000007</v>
      </c>
      <c r="G16" s="650">
        <f>SUM('C4-FinPerf RE'!H30:H31)</f>
        <v>663709374.79778469</v>
      </c>
      <c r="H16" s="408">
        <f t="shared" si="1"/>
        <v>206308977.88221538</v>
      </c>
      <c r="I16" s="591">
        <f t="shared" si="2"/>
        <v>0.3108423441285163</v>
      </c>
      <c r="J16" s="642">
        <f>SUM('C4-FinPerf RE'!K30:K31)</f>
        <v>2654837499.1911387</v>
      </c>
    </row>
    <row r="17" spans="1:11" ht="12.75" customHeight="1" x14ac:dyDescent="0.2">
      <c r="A17" s="152" t="s">
        <v>1118</v>
      </c>
      <c r="B17" s="648">
        <f>'C4-FinPerf RE'!C33</f>
        <v>0</v>
      </c>
      <c r="C17" s="649">
        <f>'C4-FinPerf RE'!D33</f>
        <v>25080461.44304001</v>
      </c>
      <c r="D17" s="408">
        <f>'C4-FinPerf RE'!E33</f>
        <v>0</v>
      </c>
      <c r="E17" s="408">
        <f>'C4-FinPerf RE'!F33</f>
        <v>7262281.1800000006</v>
      </c>
      <c r="F17" s="408">
        <f>'C4-FinPerf RE'!G33</f>
        <v>12441325.07</v>
      </c>
      <c r="G17" s="650">
        <f>'C4-FinPerf RE'!H33</f>
        <v>6270115.3607600024</v>
      </c>
      <c r="H17" s="408">
        <f t="shared" si="1"/>
        <v>6171209.7092399979</v>
      </c>
      <c r="I17" s="207">
        <f t="shared" si="2"/>
        <v>0.98422586414613966</v>
      </c>
      <c r="J17" s="642">
        <f>'C4-FinPerf RE'!K33</f>
        <v>25080461.44304001</v>
      </c>
    </row>
    <row r="18" spans="1:11" ht="12.75" customHeight="1" x14ac:dyDescent="0.2">
      <c r="A18" s="152" t="s">
        <v>434</v>
      </c>
      <c r="B18" s="648">
        <f>'C4-FinPerf RE'!C36-SUM('C1-Sum'!B12:B17)</f>
        <v>0</v>
      </c>
      <c r="C18" s="649">
        <f>'C4-FinPerf RE'!D36-SUM('C1-Sum'!C12:C17)</f>
        <v>782850145.72604942</v>
      </c>
      <c r="D18" s="408">
        <f>'C4-FinPerf RE'!E36-SUM('C1-Sum'!D12:D17)</f>
        <v>0</v>
      </c>
      <c r="E18" s="408">
        <f>'C4-FinPerf RE'!F36-SUM('C1-Sum'!E12:E17)</f>
        <v>57013075.890000105</v>
      </c>
      <c r="F18" s="408">
        <f>'C4-FinPerf RE'!G36-SUM('C1-Sum'!F12:F17)</f>
        <v>120666764.92999959</v>
      </c>
      <c r="G18" s="650">
        <f>'C4-FinPerf RE'!H36-SUM('C1-Sum'!G12:G17)</f>
        <v>195712536.43151236</v>
      </c>
      <c r="H18" s="408">
        <f t="shared" si="1"/>
        <v>-75045771.501512766</v>
      </c>
      <c r="I18" s="207">
        <f t="shared" si="2"/>
        <v>-0.38344897506233222</v>
      </c>
      <c r="J18" s="642">
        <f>'C4-FinPerf RE'!K36-SUM('C1-Sum'!J12:J17)</f>
        <v>782850145.72604942</v>
      </c>
    </row>
    <row r="19" spans="1:11" ht="12.75" customHeight="1" x14ac:dyDescent="0.2">
      <c r="A19" s="583" t="s">
        <v>488</v>
      </c>
      <c r="B19" s="660">
        <f t="shared" ref="B19:G19" si="3">SUM(B12:B18)</f>
        <v>0</v>
      </c>
      <c r="C19" s="661">
        <f t="shared" si="3"/>
        <v>5516477469.5446281</v>
      </c>
      <c r="D19" s="662">
        <f t="shared" si="3"/>
        <v>0</v>
      </c>
      <c r="E19" s="662">
        <f t="shared" si="3"/>
        <v>738677409.71000004</v>
      </c>
      <c r="F19" s="662">
        <f t="shared" si="3"/>
        <v>1458301309.0999999</v>
      </c>
      <c r="G19" s="663">
        <f t="shared" si="3"/>
        <v>1379119367.386157</v>
      </c>
      <c r="H19" s="662">
        <f t="shared" si="1"/>
        <v>79181941.713842869</v>
      </c>
      <c r="I19" s="382">
        <f t="shared" si="2"/>
        <v>5.7414857325886366E-2</v>
      </c>
      <c r="J19" s="664">
        <f>SUM(J12:J18)</f>
        <v>5516477469.5446281</v>
      </c>
    </row>
    <row r="20" spans="1:11" ht="12.75" customHeight="1" x14ac:dyDescent="0.2">
      <c r="A20" s="153" t="s">
        <v>489</v>
      </c>
      <c r="B20" s="665">
        <f t="shared" ref="B20:G20" si="4">B11-B19</f>
        <v>0</v>
      </c>
      <c r="C20" s="666">
        <f t="shared" si="4"/>
        <v>401332788.32743359</v>
      </c>
      <c r="D20" s="637">
        <f t="shared" si="4"/>
        <v>0</v>
      </c>
      <c r="E20" s="637">
        <f t="shared" si="4"/>
        <v>-312800916.87000006</v>
      </c>
      <c r="F20" s="637">
        <f t="shared" si="4"/>
        <v>69644516.450000286</v>
      </c>
      <c r="G20" s="667">
        <f t="shared" si="4"/>
        <v>100333197.0818584</v>
      </c>
      <c r="H20" s="637">
        <f t="shared" si="1"/>
        <v>-30688680.63185811</v>
      </c>
      <c r="I20" s="206">
        <f t="shared" si="2"/>
        <v>-0.30586766418716105</v>
      </c>
      <c r="J20" s="641">
        <f>J11-J19</f>
        <v>401332788.32743359</v>
      </c>
    </row>
    <row r="21" spans="1:11" s="987" customFormat="1" ht="23.4" customHeight="1" x14ac:dyDescent="0.25">
      <c r="A21" s="989" t="str">
        <f>'C4-FinPerf RE'!A39</f>
        <v>Transfers and subsidies - capital (monetary allocations) (National / Provincial and District)</v>
      </c>
      <c r="B21" s="981">
        <f>'C4-FinPerf RE'!C39</f>
        <v>0</v>
      </c>
      <c r="C21" s="982">
        <f>'C4-FinPerf RE'!D39</f>
        <v>525891580.99999982</v>
      </c>
      <c r="D21" s="983">
        <f>'C4-FinPerf RE'!E39</f>
        <v>0</v>
      </c>
      <c r="E21" s="983">
        <f>'C4-FinPerf RE'!F39</f>
        <v>47548843.010000005</v>
      </c>
      <c r="F21" s="983">
        <f>'C4-FinPerf RE'!G39</f>
        <v>75697011.819999993</v>
      </c>
      <c r="G21" s="984">
        <f>'C4-FinPerf RE'!H39</f>
        <v>131472895.24999994</v>
      </c>
      <c r="H21" s="983">
        <f t="shared" si="1"/>
        <v>-55775883.429999948</v>
      </c>
      <c r="I21" s="985">
        <f t="shared" si="2"/>
        <v>-0.42423864876437317</v>
      </c>
      <c r="J21" s="986">
        <f>'C4-FinPerf RE'!K39</f>
        <v>525891580.99999982</v>
      </c>
    </row>
    <row r="22" spans="1:11" ht="61.2" customHeight="1" x14ac:dyDescent="0.2">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0.399999999999999" x14ac:dyDescent="0.2">
      <c r="A23" s="347" t="s">
        <v>752</v>
      </c>
      <c r="B23" s="655">
        <f t="shared" ref="B23:G23" si="5">B20+B21+B22</f>
        <v>0</v>
      </c>
      <c r="C23" s="656">
        <f t="shared" si="5"/>
        <v>927224369.32743335</v>
      </c>
      <c r="D23" s="657">
        <f t="shared" si="5"/>
        <v>0</v>
      </c>
      <c r="E23" s="657">
        <f t="shared" si="5"/>
        <v>-265252073.86000007</v>
      </c>
      <c r="F23" s="657">
        <f t="shared" si="5"/>
        <v>145341528.27000028</v>
      </c>
      <c r="G23" s="658">
        <f t="shared" si="5"/>
        <v>231806092.33185834</v>
      </c>
      <c r="H23" s="657">
        <f t="shared" si="1"/>
        <v>-86464564.061858058</v>
      </c>
      <c r="I23" s="592">
        <f t="shared" si="2"/>
        <v>-0.37300384641346535</v>
      </c>
      <c r="J23" s="659">
        <f>J20+J21+J22</f>
        <v>927224369.32743335</v>
      </c>
    </row>
    <row r="24" spans="1:11" ht="12.75" customHeight="1" x14ac:dyDescent="0.2">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
      <c r="A25" s="347" t="s">
        <v>893</v>
      </c>
      <c r="B25" s="665">
        <f t="shared" ref="B25:G25" si="6">B23+B24</f>
        <v>0</v>
      </c>
      <c r="C25" s="666">
        <f t="shared" si="6"/>
        <v>927224369.32743335</v>
      </c>
      <c r="D25" s="637">
        <f t="shared" si="6"/>
        <v>0</v>
      </c>
      <c r="E25" s="637">
        <f t="shared" si="6"/>
        <v>-265252073.86000007</v>
      </c>
      <c r="F25" s="637">
        <f t="shared" si="6"/>
        <v>145341528.27000028</v>
      </c>
      <c r="G25" s="667">
        <f t="shared" si="6"/>
        <v>231806092.33185834</v>
      </c>
      <c r="H25" s="637">
        <f t="shared" si="1"/>
        <v>-86464564.061858058</v>
      </c>
      <c r="I25" s="206">
        <f t="shared" si="2"/>
        <v>-0.37300384641346535</v>
      </c>
      <c r="J25" s="641">
        <f>J23+J24</f>
        <v>927224369.32743335</v>
      </c>
    </row>
    <row r="26" spans="1:11" ht="5.0999999999999996" customHeight="1" x14ac:dyDescent="0.2">
      <c r="A26" s="154"/>
      <c r="B26" s="209"/>
      <c r="C26" s="210"/>
      <c r="D26" s="32"/>
      <c r="E26" s="32"/>
      <c r="F26" s="32"/>
      <c r="G26" s="32"/>
      <c r="H26" s="32"/>
      <c r="I26" s="211"/>
      <c r="J26" s="212"/>
    </row>
    <row r="27" spans="1:11" ht="12.75" customHeight="1" x14ac:dyDescent="0.2">
      <c r="A27" s="151" t="s">
        <v>927</v>
      </c>
      <c r="B27" s="213"/>
      <c r="C27" s="214"/>
      <c r="D27" s="30"/>
      <c r="E27" s="30"/>
      <c r="F27" s="30"/>
      <c r="G27" s="30"/>
      <c r="H27" s="30"/>
      <c r="I27" s="215"/>
      <c r="J27" s="216"/>
    </row>
    <row r="28" spans="1:11" ht="12.75" customHeight="1" x14ac:dyDescent="0.2">
      <c r="A28" s="153" t="s">
        <v>581</v>
      </c>
      <c r="B28" s="660">
        <f>'C5-Capex'!C40</f>
        <v>0</v>
      </c>
      <c r="C28" s="661">
        <f>'C5-Capex'!D40</f>
        <v>580891581</v>
      </c>
      <c r="D28" s="662">
        <f>'C5-Capex'!E40</f>
        <v>0</v>
      </c>
      <c r="E28" s="662">
        <f>'C5-Capex'!F40</f>
        <v>51590953.230000004</v>
      </c>
      <c r="F28" s="662">
        <f>'C5-Capex'!G40</f>
        <v>80820991.460000008</v>
      </c>
      <c r="G28" s="663">
        <f>'C5-Capex'!H40</f>
        <v>145222895.25</v>
      </c>
      <c r="H28" s="662">
        <f t="shared" ref="H28:H33" si="7">F28-G28</f>
        <v>-64401903.789999992</v>
      </c>
      <c r="I28" s="382">
        <f t="shared" ref="I28:I33" si="8">IF(H28=0,"",H28/G28)</f>
        <v>-0.44346935570408957</v>
      </c>
      <c r="J28" s="664">
        <f>'C5-Capex'!K40</f>
        <v>580891581</v>
      </c>
    </row>
    <row r="29" spans="1:11" ht="12.75" customHeight="1" x14ac:dyDescent="0.2">
      <c r="A29" s="152" t="s">
        <v>499</v>
      </c>
      <c r="B29" s="648">
        <f>'C5-Capex'!C70</f>
        <v>0</v>
      </c>
      <c r="C29" s="649">
        <f>'C5-Capex'!D70</f>
        <v>525891580.99999988</v>
      </c>
      <c r="D29" s="408">
        <f>'C5-Capex'!E70</f>
        <v>0</v>
      </c>
      <c r="E29" s="408">
        <f>'C5-Capex'!F70</f>
        <v>43590953.18</v>
      </c>
      <c r="F29" s="408">
        <f>'C5-Capex'!G70</f>
        <v>71782391.409999996</v>
      </c>
      <c r="G29" s="650">
        <f>'C5-Capex'!H70</f>
        <v>131472895.24999996</v>
      </c>
      <c r="H29" s="408">
        <f t="shared" si="7"/>
        <v>-59690503.839999959</v>
      </c>
      <c r="I29" s="591">
        <f t="shared" si="8"/>
        <v>-0.45401376250592596</v>
      </c>
      <c r="J29" s="642">
        <f>'C5-Capex'!K70</f>
        <v>525891580.99999988</v>
      </c>
      <c r="K29" s="156"/>
    </row>
    <row r="30" spans="1:11" ht="0.9" customHeight="1" x14ac:dyDescent="0.2">
      <c r="A30" s="152"/>
      <c r="B30" s="648"/>
      <c r="C30" s="649"/>
      <c r="D30" s="408"/>
      <c r="E30" s="408"/>
      <c r="F30" s="408"/>
      <c r="G30" s="650"/>
      <c r="H30" s="408"/>
      <c r="I30" s="207"/>
      <c r="J30" s="642"/>
      <c r="K30" s="156"/>
    </row>
    <row r="31" spans="1:11" ht="12.75" customHeight="1" x14ac:dyDescent="0.2">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
      <c r="A32" s="152" t="s">
        <v>472</v>
      </c>
      <c r="B32" s="660">
        <f>'C5-Capex'!C73</f>
        <v>0</v>
      </c>
      <c r="C32" s="661">
        <f>'C5-Capex'!D73</f>
        <v>55000000</v>
      </c>
      <c r="D32" s="662">
        <f>'C5-Capex'!E73</f>
        <v>0</v>
      </c>
      <c r="E32" s="662">
        <f>'C5-Capex'!F73</f>
        <v>8000000.0500000045</v>
      </c>
      <c r="F32" s="662">
        <f>'C5-Capex'!G73</f>
        <v>9038600.0500000119</v>
      </c>
      <c r="G32" s="663">
        <f>'C5-Capex'!H73</f>
        <v>13750000</v>
      </c>
      <c r="H32" s="662">
        <f t="shared" si="7"/>
        <v>-4711399.9499999881</v>
      </c>
      <c r="I32" s="382">
        <f t="shared" si="8"/>
        <v>-0.3426472690909082</v>
      </c>
      <c r="J32" s="664">
        <f>'C5-Capex'!K73</f>
        <v>55000000</v>
      </c>
      <c r="K32" s="156"/>
    </row>
    <row r="33" spans="1:10" ht="12.75" customHeight="1" x14ac:dyDescent="0.2">
      <c r="A33" s="583" t="s">
        <v>137</v>
      </c>
      <c r="B33" s="668">
        <f t="shared" ref="B33:G33" si="9">+B29+B31+B32</f>
        <v>0</v>
      </c>
      <c r="C33" s="613">
        <f t="shared" si="9"/>
        <v>580891580.99999988</v>
      </c>
      <c r="D33" s="611">
        <f t="shared" si="9"/>
        <v>0</v>
      </c>
      <c r="E33" s="611">
        <f t="shared" si="9"/>
        <v>51590953.230000004</v>
      </c>
      <c r="F33" s="611">
        <f t="shared" si="9"/>
        <v>80820991.460000008</v>
      </c>
      <c r="G33" s="612">
        <f t="shared" si="9"/>
        <v>145222895.24999994</v>
      </c>
      <c r="H33" s="611">
        <f t="shared" si="7"/>
        <v>-64401903.789999932</v>
      </c>
      <c r="I33" s="594">
        <f t="shared" si="8"/>
        <v>-0.44346935570408935</v>
      </c>
      <c r="J33" s="614">
        <f>+J29+J31+J32</f>
        <v>580891580.99999988</v>
      </c>
    </row>
    <row r="34" spans="1:10" ht="5.0999999999999996" customHeight="1" x14ac:dyDescent="0.2">
      <c r="A34" s="349"/>
      <c r="B34" s="209"/>
      <c r="C34" s="210"/>
      <c r="D34" s="32"/>
      <c r="E34" s="32"/>
      <c r="F34" s="32"/>
      <c r="G34" s="32"/>
      <c r="H34" s="32"/>
      <c r="I34" s="211"/>
      <c r="J34" s="212"/>
    </row>
    <row r="35" spans="1:10" ht="12.75" customHeight="1" x14ac:dyDescent="0.2">
      <c r="A35" s="155" t="s">
        <v>492</v>
      </c>
      <c r="B35" s="197"/>
      <c r="C35" s="196"/>
      <c r="D35" s="29"/>
      <c r="E35" s="29"/>
      <c r="F35" s="29"/>
      <c r="G35" s="217"/>
      <c r="H35" s="217"/>
      <c r="I35" s="219"/>
      <c r="J35" s="201"/>
    </row>
    <row r="36" spans="1:10" ht="12.75" customHeight="1" x14ac:dyDescent="0.2">
      <c r="A36" s="152" t="s">
        <v>632</v>
      </c>
      <c r="B36" s="648">
        <f>'C6-FinPos'!C13</f>
        <v>0</v>
      </c>
      <c r="C36" s="649">
        <f>'C6-FinPos'!D13</f>
        <v>2972344764.6444831</v>
      </c>
      <c r="D36" s="408">
        <f>'C6-FinPos'!E13</f>
        <v>0</v>
      </c>
      <c r="E36" s="408"/>
      <c r="F36" s="408">
        <f>'C6-FinPos'!F13</f>
        <v>2059957430.2100003</v>
      </c>
      <c r="G36" s="217"/>
      <c r="H36" s="217"/>
      <c r="I36" s="219"/>
      <c r="J36" s="642">
        <f>'C6-FinPos'!G13</f>
        <v>2972344764.6444831</v>
      </c>
    </row>
    <row r="37" spans="1:10" ht="12.75" customHeight="1" x14ac:dyDescent="0.2">
      <c r="A37" s="152" t="s">
        <v>631</v>
      </c>
      <c r="B37" s="648">
        <f>'C6-FinPos'!C25</f>
        <v>0</v>
      </c>
      <c r="C37" s="649">
        <f>'C6-FinPos'!D25</f>
        <v>8340425652.5764656</v>
      </c>
      <c r="D37" s="408">
        <f>'C6-FinPos'!E25</f>
        <v>0</v>
      </c>
      <c r="E37" s="408"/>
      <c r="F37" s="408">
        <f>'C6-FinPos'!F25</f>
        <v>7996992850.3900013</v>
      </c>
      <c r="G37" s="217"/>
      <c r="H37" s="217"/>
      <c r="I37" s="219"/>
      <c r="J37" s="642">
        <f>'C6-FinPos'!G25</f>
        <v>8340425652.5764656</v>
      </c>
    </row>
    <row r="38" spans="1:10" ht="12.75" customHeight="1" x14ac:dyDescent="0.2">
      <c r="A38" s="152" t="s">
        <v>459</v>
      </c>
      <c r="B38" s="648">
        <f>'C6-FinPos'!C35</f>
        <v>0</v>
      </c>
      <c r="C38" s="649">
        <f>'C6-FinPos'!D35</f>
        <v>1441718351.4141357</v>
      </c>
      <c r="D38" s="408">
        <f>'C6-FinPos'!E35</f>
        <v>0</v>
      </c>
      <c r="E38" s="408"/>
      <c r="F38" s="408">
        <f>'C6-FinPos'!F35</f>
        <v>1597754298.0800002</v>
      </c>
      <c r="G38" s="217"/>
      <c r="H38" s="217"/>
      <c r="I38" s="219"/>
      <c r="J38" s="642">
        <f>'C6-FinPos'!G35</f>
        <v>1441718351.4141357</v>
      </c>
    </row>
    <row r="39" spans="1:10" ht="12.75" customHeight="1" x14ac:dyDescent="0.2">
      <c r="A39" s="152" t="s">
        <v>458</v>
      </c>
      <c r="B39" s="648">
        <f>'C6-FinPos'!C40</f>
        <v>0</v>
      </c>
      <c r="C39" s="649">
        <f>'C6-FinPos'!D40</f>
        <v>1091864951.9305663</v>
      </c>
      <c r="D39" s="408">
        <f>'C6-FinPos'!E40</f>
        <v>0</v>
      </c>
      <c r="E39" s="408"/>
      <c r="F39" s="408">
        <f>'C6-FinPos'!F40</f>
        <v>820090325.28999996</v>
      </c>
      <c r="G39" s="217"/>
      <c r="H39" s="217"/>
      <c r="I39" s="219"/>
      <c r="J39" s="642">
        <f>'C6-FinPos'!G40</f>
        <v>1091864951.9305663</v>
      </c>
    </row>
    <row r="40" spans="1:10" ht="12.75" customHeight="1" x14ac:dyDescent="0.2">
      <c r="A40" s="152" t="s">
        <v>136</v>
      </c>
      <c r="B40" s="665">
        <f>'C6-FinPos'!C48</f>
        <v>0</v>
      </c>
      <c r="C40" s="666">
        <f>'C6-FinPos'!D48</f>
        <v>8779187113.8762474</v>
      </c>
      <c r="D40" s="637">
        <f>'C6-FinPos'!E48</f>
        <v>0</v>
      </c>
      <c r="E40" s="408"/>
      <c r="F40" s="637">
        <f>'C6-FinPos'!F48</f>
        <v>7639105657.2300024</v>
      </c>
      <c r="G40" s="595"/>
      <c r="H40" s="595"/>
      <c r="I40" s="596"/>
      <c r="J40" s="641">
        <f>'C6-FinPos'!G48</f>
        <v>8779187113.8762474</v>
      </c>
    </row>
    <row r="41" spans="1:10" ht="5.0999999999999996" customHeight="1" x14ac:dyDescent="0.2">
      <c r="A41" s="154"/>
      <c r="B41" s="209"/>
      <c r="C41" s="210"/>
      <c r="D41" s="32"/>
      <c r="E41" s="32"/>
      <c r="F41" s="32"/>
      <c r="G41" s="218"/>
      <c r="H41" s="218"/>
      <c r="I41" s="220"/>
      <c r="J41" s="212"/>
    </row>
    <row r="42" spans="1:10" ht="12.75" customHeight="1" x14ac:dyDescent="0.2">
      <c r="A42" s="151" t="s">
        <v>493</v>
      </c>
      <c r="B42" s="213"/>
      <c r="C42" s="214"/>
      <c r="D42" s="30"/>
      <c r="E42" s="30"/>
      <c r="F42" s="30"/>
      <c r="G42" s="30"/>
      <c r="H42" s="30"/>
      <c r="I42" s="215"/>
      <c r="J42" s="216"/>
    </row>
    <row r="43" spans="1:10" ht="12.75" customHeight="1" x14ac:dyDescent="0.2">
      <c r="A43" s="152" t="s">
        <v>648</v>
      </c>
      <c r="B43" s="648">
        <f>'C7-CFlow'!C18</f>
        <v>0</v>
      </c>
      <c r="C43" s="649">
        <f>'C7-CFlow'!D18</f>
        <v>752533430.43256187</v>
      </c>
      <c r="D43" s="408">
        <f>'C7-CFlow'!E18</f>
        <v>0</v>
      </c>
      <c r="E43" s="408">
        <f>'C7-CFlow'!F18</f>
        <v>-111089315.29999995</v>
      </c>
      <c r="F43" s="408">
        <f>'C7-CFlow'!G18</f>
        <v>-59335435.979999781</v>
      </c>
      <c r="G43" s="650">
        <f>'C7-CFlow'!H18</f>
        <v>188133357.60814047</v>
      </c>
      <c r="H43" s="408">
        <f>G43-F43</f>
        <v>247468793.58814025</v>
      </c>
      <c r="I43" s="207">
        <f>IF(H43=0,"",H43/G43)</f>
        <v>1.3153902993832092</v>
      </c>
      <c r="J43" s="642">
        <f>'C7-CFlow'!K18</f>
        <v>752533430.43256187</v>
      </c>
    </row>
    <row r="44" spans="1:10" ht="12.75" customHeight="1" x14ac:dyDescent="0.2">
      <c r="A44" s="152" t="s">
        <v>649</v>
      </c>
      <c r="B44" s="648">
        <f>'C7-CFlow'!C28</f>
        <v>0</v>
      </c>
      <c r="C44" s="649">
        <f>'C7-CFlow'!D28</f>
        <v>-580891580.99999988</v>
      </c>
      <c r="D44" s="408">
        <f>'C7-CFlow'!E28</f>
        <v>0</v>
      </c>
      <c r="E44" s="408">
        <f>'C7-CFlow'!F28</f>
        <v>-51590954.259999998</v>
      </c>
      <c r="F44" s="408">
        <f>'C7-CFlow'!G28</f>
        <v>-32309291.490000002</v>
      </c>
      <c r="G44" s="650">
        <f>'C7-CFlow'!H28</f>
        <v>-145222895.24999997</v>
      </c>
      <c r="H44" s="408">
        <f>G44-F44</f>
        <v>-112913603.75999996</v>
      </c>
      <c r="I44" s="207">
        <f>IF(H44=0,"",H44/G44)</f>
        <v>0.77751929931998776</v>
      </c>
      <c r="J44" s="642">
        <f>'C7-CFlow'!K28</f>
        <v>-580891580.99999988</v>
      </c>
    </row>
    <row r="45" spans="1:10" ht="12.75" customHeight="1" x14ac:dyDescent="0.2">
      <c r="A45" s="152" t="s">
        <v>647</v>
      </c>
      <c r="B45" s="648">
        <f>'C7-CFlow'!C37</f>
        <v>0</v>
      </c>
      <c r="C45" s="649">
        <f>'C7-CFlow'!D37</f>
        <v>-79206000</v>
      </c>
      <c r="D45" s="408">
        <f>'C7-CFlow'!E37</f>
        <v>0</v>
      </c>
      <c r="E45" s="408">
        <f>'C7-CFlow'!F37</f>
        <v>-19566786.379999999</v>
      </c>
      <c r="F45" s="408">
        <f>'C7-CFlow'!G37</f>
        <v>-20256190.370000001</v>
      </c>
      <c r="G45" s="650">
        <f>'C7-CFlow'!H37</f>
        <v>-19801500</v>
      </c>
      <c r="H45" s="408">
        <f>G45-F45</f>
        <v>454690.37000000104</v>
      </c>
      <c r="I45" s="207">
        <f>IF(H45=0,"",H45/G45)</f>
        <v>-2.2962420523697753E-2</v>
      </c>
      <c r="J45" s="642">
        <f>'C7-CFlow'!K37</f>
        <v>-79206000</v>
      </c>
    </row>
    <row r="46" spans="1:10" ht="12.75" customHeight="1" x14ac:dyDescent="0.2">
      <c r="A46" s="153" t="s">
        <v>54</v>
      </c>
      <c r="B46" s="665">
        <f>'C7-CFlow'!C41</f>
        <v>0</v>
      </c>
      <c r="C46" s="666">
        <f>'C7-CFlow'!D41</f>
        <v>382435849.43256199</v>
      </c>
      <c r="D46" s="637">
        <f>'C7-CFlow'!E41</f>
        <v>0</v>
      </c>
      <c r="E46" s="637">
        <f>'C7-CFlow'!F41</f>
        <v>0</v>
      </c>
      <c r="F46" s="637">
        <f>'C7-CFlow'!G41</f>
        <v>358147331.16000021</v>
      </c>
      <c r="G46" s="667">
        <f>'C7-CFlow'!H41</f>
        <v>313108962.35814047</v>
      </c>
      <c r="H46" s="637">
        <f>G46-F46</f>
        <v>-45038368.801859736</v>
      </c>
      <c r="I46" s="206">
        <f>IF(H46=0,"",H46/G46)</f>
        <v>-0.14384247727263688</v>
      </c>
      <c r="J46" s="641">
        <f>'C7-CFlow'!K41</f>
        <v>562484098.43256199</v>
      </c>
    </row>
    <row r="47" spans="1:10" ht="5.0999999999999996" customHeight="1" x14ac:dyDescent="0.2">
      <c r="A47" s="177"/>
      <c r="B47" s="209"/>
      <c r="C47" s="210"/>
      <c r="D47" s="32"/>
      <c r="E47" s="32"/>
      <c r="F47" s="32"/>
      <c r="G47" s="32"/>
      <c r="H47" s="32"/>
      <c r="I47" s="211"/>
      <c r="J47" s="212"/>
    </row>
    <row r="48" spans="1:10" ht="25.5" customHeight="1" x14ac:dyDescent="0.2">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
      <c r="A49" s="345" t="str">
        <f>LEFT('SC3'!A4,20)</f>
        <v>Debtors Age Analysis</v>
      </c>
      <c r="B49" s="197"/>
      <c r="C49" s="196"/>
      <c r="D49" s="29"/>
      <c r="E49" s="29"/>
      <c r="F49" s="29"/>
      <c r="G49" s="29"/>
      <c r="H49" s="29"/>
      <c r="I49" s="207"/>
      <c r="J49" s="201"/>
    </row>
    <row r="50" spans="1:10" ht="12.75" customHeight="1" x14ac:dyDescent="0.2">
      <c r="A50" s="172" t="str">
        <f>'SC3'!A14</f>
        <v>Total By Income Source</v>
      </c>
      <c r="B50" s="648">
        <f>'SC3'!C14</f>
        <v>641707402.23000014</v>
      </c>
      <c r="C50" s="649">
        <f>'SC3'!D14</f>
        <v>149495508.66</v>
      </c>
      <c r="D50" s="408">
        <f>'SC3'!E14</f>
        <v>108483511.43999998</v>
      </c>
      <c r="E50" s="408">
        <f>'SC3'!F14</f>
        <v>90275349.409999996</v>
      </c>
      <c r="F50" s="408">
        <f>'SC3'!G14</f>
        <v>61661672.800000004</v>
      </c>
      <c r="G50" s="650">
        <f>'SC3'!H14</f>
        <v>88894474.260000005</v>
      </c>
      <c r="H50" s="408">
        <f>'SC3'!I14</f>
        <v>536986308.65999997</v>
      </c>
      <c r="I50" s="650">
        <f>'SC3'!J14</f>
        <v>3001583808.6599998</v>
      </c>
      <c r="J50" s="642">
        <f>'SC3'!K14</f>
        <v>4679088036.1199989</v>
      </c>
    </row>
    <row r="51" spans="1:10" ht="12.75" customHeight="1" x14ac:dyDescent="0.2">
      <c r="A51" s="345" t="str">
        <f>LEFT('SC4'!A5,22)</f>
        <v>Creditors Age Analysis</v>
      </c>
      <c r="B51" s="197"/>
      <c r="C51" s="196"/>
      <c r="D51" s="29"/>
      <c r="E51" s="29"/>
      <c r="F51" s="29"/>
      <c r="G51" s="29"/>
      <c r="H51" s="29"/>
      <c r="I51" s="207"/>
      <c r="J51" s="201"/>
    </row>
    <row r="52" spans="1:10" ht="12.75" customHeight="1" x14ac:dyDescent="0.2">
      <c r="A52" s="172" t="s">
        <v>456</v>
      </c>
      <c r="B52" s="648">
        <f>'SC4'!C15</f>
        <v>916389872.25999999</v>
      </c>
      <c r="C52" s="649">
        <f>'SC4'!D15</f>
        <v>179854699.50999999</v>
      </c>
      <c r="D52" s="408">
        <f>'SC4'!E15</f>
        <v>105638800.67</v>
      </c>
      <c r="E52" s="408">
        <f>'SC4'!F15</f>
        <v>11201592.050000001</v>
      </c>
      <c r="F52" s="408">
        <f>'SC4'!G15</f>
        <v>291604.40000000002</v>
      </c>
      <c r="G52" s="650">
        <f>'SC4'!H15</f>
        <v>71009.789999999994</v>
      </c>
      <c r="H52" s="408">
        <f>'SC4'!I15</f>
        <v>228741.84</v>
      </c>
      <c r="I52" s="650">
        <f>'SC4'!J15</f>
        <v>632098.70999999903</v>
      </c>
      <c r="J52" s="642">
        <f>'SC4'!K15</f>
        <v>1214308419.23</v>
      </c>
    </row>
    <row r="53" spans="1:10" ht="12.75" customHeight="1" x14ac:dyDescent="0.2">
      <c r="A53" s="177"/>
      <c r="B53" s="198"/>
      <c r="C53" s="202"/>
      <c r="D53" s="203"/>
      <c r="E53" s="203"/>
      <c r="F53" s="203"/>
      <c r="G53" s="203"/>
      <c r="H53" s="203"/>
      <c r="I53" s="211"/>
      <c r="J53" s="204"/>
    </row>
    <row r="54" spans="1:10" ht="12.75" customHeight="1" x14ac:dyDescent="0.2">
      <c r="A54" s="96"/>
      <c r="B54" s="288"/>
      <c r="C54" s="288"/>
      <c r="D54" s="288"/>
      <c r="E54" s="288"/>
      <c r="F54" s="288"/>
      <c r="G54" s="288"/>
      <c r="H54" s="288"/>
      <c r="I54" s="289"/>
      <c r="J54" s="288"/>
    </row>
    <row r="55" spans="1:10" x14ac:dyDescent="0.2">
      <c r="A55" s="1034"/>
      <c r="B55" s="1034"/>
      <c r="C55" s="1034"/>
      <c r="D55" s="1034"/>
      <c r="E55" s="1034"/>
      <c r="F55" s="1034"/>
      <c r="G55" s="1034"/>
      <c r="H55" s="1034"/>
      <c r="I55" s="1034"/>
      <c r="J55" s="1034"/>
    </row>
    <row r="56" spans="1:10" x14ac:dyDescent="0.2">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sqref="A1:K50"/>
    </sheetView>
  </sheetViews>
  <sheetFormatPr defaultColWidth="9.109375" defaultRowHeight="10.199999999999999" x14ac:dyDescent="0.2"/>
  <cols>
    <col min="1" max="1" width="32.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4" width="9.5546875" style="25" customWidth="1"/>
    <col min="15" max="16" width="21.44140625" style="25" bestFit="1" customWidth="1"/>
    <col min="17" max="17" width="11.6640625" style="25" bestFit="1" customWidth="1"/>
    <col min="18" max="18" width="9.5546875" style="25" customWidth="1"/>
    <col min="19" max="19" width="9.88671875" style="25" customWidth="1"/>
    <col min="20" max="20" width="9.109375" style="25"/>
    <col min="21" max="21" width="9.5546875" style="25" bestFit="1" customWidth="1"/>
    <col min="22" max="16384" width="9.109375" style="25"/>
  </cols>
  <sheetData>
    <row r="1" spans="1:18" ht="13.8" x14ac:dyDescent="0.3">
      <c r="A1" s="1044" t="str">
        <f>muni&amp; " - "&amp;S71A&amp; " - "&amp;date</f>
        <v>KZN225 Msunduzi - Table C2 Consolidated Monthly Budget Statement - Financial Performance (functional classification)  - Q1 First Quarter</v>
      </c>
      <c r="B1" s="1044"/>
      <c r="C1" s="1044"/>
      <c r="D1" s="1044"/>
      <c r="E1" s="1044"/>
      <c r="F1" s="1044"/>
      <c r="G1" s="1044"/>
      <c r="H1" s="1044"/>
      <c r="I1" s="1044"/>
      <c r="J1" s="1044"/>
      <c r="K1" s="1044"/>
    </row>
    <row r="2" spans="1:18" x14ac:dyDescent="0.2">
      <c r="A2" s="1042" t="str">
        <f>desc</f>
        <v>Description</v>
      </c>
      <c r="B2" s="1040" t="str">
        <f>head27</f>
        <v>Ref</v>
      </c>
      <c r="C2" s="24" t="str">
        <f>Head1</f>
        <v>2019/20</v>
      </c>
      <c r="D2" s="231" t="str">
        <f>Head2</f>
        <v>Budget Year 2020/21</v>
      </c>
      <c r="E2" s="229"/>
      <c r="F2" s="229"/>
      <c r="G2" s="229"/>
      <c r="H2" s="229"/>
      <c r="I2" s="229"/>
      <c r="J2" s="229"/>
      <c r="K2" s="230"/>
    </row>
    <row r="3" spans="1:18" ht="20.399999999999999" x14ac:dyDescent="0.2">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
      <c r="A4" s="34" t="s">
        <v>667</v>
      </c>
      <c r="B4" s="425">
        <v>1</v>
      </c>
      <c r="C4" s="423"/>
      <c r="D4" s="240"/>
      <c r="E4" s="241"/>
      <c r="F4" s="82"/>
      <c r="G4" s="82"/>
      <c r="H4" s="82"/>
      <c r="I4" s="82"/>
      <c r="J4" s="242" t="s">
        <v>575</v>
      </c>
      <c r="K4" s="223"/>
    </row>
    <row r="5" spans="1:18" ht="12.75" customHeight="1" x14ac:dyDescent="0.2">
      <c r="A5" s="35" t="s">
        <v>1136</v>
      </c>
      <c r="B5" s="426"/>
      <c r="C5" s="226"/>
      <c r="D5" s="432"/>
      <c r="E5" s="238"/>
      <c r="F5" s="238"/>
      <c r="G5" s="238"/>
      <c r="H5" s="238"/>
      <c r="I5" s="238"/>
      <c r="J5" s="238"/>
      <c r="K5" s="239"/>
      <c r="L5" s="100"/>
    </row>
    <row r="6" spans="1:18" ht="12.75" customHeight="1" x14ac:dyDescent="0.2">
      <c r="A6" s="414" t="s">
        <v>138</v>
      </c>
      <c r="B6" s="415"/>
      <c r="C6" s="641">
        <f t="shared" ref="C6:H6" si="0">SUM(C7:C9)</f>
        <v>0</v>
      </c>
      <c r="D6" s="669">
        <f t="shared" si="0"/>
        <v>1572338502.3175159</v>
      </c>
      <c r="E6" s="637">
        <f t="shared" si="0"/>
        <v>0</v>
      </c>
      <c r="F6" s="637">
        <f t="shared" si="0"/>
        <v>112993185.97</v>
      </c>
      <c r="G6" s="637">
        <f t="shared" si="0"/>
        <v>466667837.44000006</v>
      </c>
      <c r="H6" s="637">
        <f t="shared" si="0"/>
        <v>393084625.57937896</v>
      </c>
      <c r="I6" s="47">
        <f t="shared" ref="I6:I13" si="1">G6-H6</f>
        <v>73583211.860621095</v>
      </c>
      <c r="J6" s="200">
        <f>IF(I6=0,"",I6/H6)</f>
        <v>0.18719432679964179</v>
      </c>
      <c r="K6" s="641">
        <f>SUM(K7:K9)</f>
        <v>1572338502.3175159</v>
      </c>
      <c r="L6" s="100"/>
      <c r="Q6" s="69"/>
      <c r="R6" s="70"/>
    </row>
    <row r="7" spans="1:18" ht="12.75" customHeight="1" x14ac:dyDescent="0.2">
      <c r="A7" s="416" t="s">
        <v>108</v>
      </c>
      <c r="B7" s="415"/>
      <c r="C7" s="642">
        <f>'C2C'!C7</f>
        <v>0</v>
      </c>
      <c r="D7" s="670">
        <f>'C2C'!D7</f>
        <v>4447530.0133999996</v>
      </c>
      <c r="E7" s="408">
        <f>'C2C'!E7</f>
        <v>0</v>
      </c>
      <c r="F7" s="408">
        <f>'C2C'!F7</f>
        <v>0</v>
      </c>
      <c r="G7" s="408">
        <f>'C2C'!G7</f>
        <v>0</v>
      </c>
      <c r="H7" s="408">
        <f>'C2C'!H7</f>
        <v>1111882.5033499999</v>
      </c>
      <c r="I7" s="47">
        <f t="shared" si="1"/>
        <v>-1111882.5033499999</v>
      </c>
      <c r="J7" s="200">
        <f t="shared" ref="J7:J26" si="2">IF(I7=0,"",I7/H7)</f>
        <v>-1</v>
      </c>
      <c r="K7" s="642">
        <f>'C2C'!K7</f>
        <v>4447530.0133999996</v>
      </c>
      <c r="L7" s="100"/>
      <c r="Q7" s="69"/>
      <c r="R7" s="70"/>
    </row>
    <row r="8" spans="1:18" ht="12.75" customHeight="1" x14ac:dyDescent="0.2">
      <c r="A8" s="416" t="s">
        <v>1123</v>
      </c>
      <c r="B8" s="415"/>
      <c r="C8" s="643">
        <f>'C2C'!C10</f>
        <v>0</v>
      </c>
      <c r="D8" s="671">
        <f>'C2C'!D10</f>
        <v>1567890972.3041158</v>
      </c>
      <c r="E8" s="672">
        <f>'C2C'!E10</f>
        <v>0</v>
      </c>
      <c r="F8" s="672">
        <f>'C2C'!F10</f>
        <v>112993185.97</v>
      </c>
      <c r="G8" s="672">
        <f>'C2C'!G10</f>
        <v>466667837.44000006</v>
      </c>
      <c r="H8" s="672">
        <f>'C2C'!H10</f>
        <v>391972743.07602894</v>
      </c>
      <c r="I8" s="47">
        <f t="shared" si="1"/>
        <v>74695094.363971114</v>
      </c>
      <c r="J8" s="200">
        <f t="shared" si="2"/>
        <v>0.19056196045111964</v>
      </c>
      <c r="K8" s="673">
        <f>'C2C'!K10</f>
        <v>1567890972.3041158</v>
      </c>
      <c r="L8" s="100"/>
      <c r="Q8" s="69"/>
      <c r="R8" s="70"/>
    </row>
    <row r="9" spans="1:18" ht="12.75" customHeight="1" x14ac:dyDescent="0.2">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
      <c r="A10" s="414" t="s">
        <v>109</v>
      </c>
      <c r="B10" s="415"/>
      <c r="C10" s="641">
        <f t="shared" ref="C10:H10" si="3">SUM(C11:C15)</f>
        <v>0</v>
      </c>
      <c r="D10" s="669">
        <f t="shared" si="3"/>
        <v>369251054.47721577</v>
      </c>
      <c r="E10" s="637">
        <f t="shared" si="3"/>
        <v>0</v>
      </c>
      <c r="F10" s="637">
        <f t="shared" si="3"/>
        <v>21355184.21999988</v>
      </c>
      <c r="G10" s="637">
        <f t="shared" si="3"/>
        <v>33481570.149999753</v>
      </c>
      <c r="H10" s="637">
        <f t="shared" si="3"/>
        <v>92312763.619303942</v>
      </c>
      <c r="I10" s="47">
        <f t="shared" si="1"/>
        <v>-58831193.469304189</v>
      </c>
      <c r="J10" s="200">
        <f t="shared" si="2"/>
        <v>-0.63730291633259839</v>
      </c>
      <c r="K10" s="641">
        <f>SUM(K11:K15)</f>
        <v>369251054.47721577</v>
      </c>
      <c r="L10" s="100"/>
      <c r="Q10" s="69"/>
      <c r="R10" s="70"/>
    </row>
    <row r="11" spans="1:18" ht="12.75" customHeight="1" x14ac:dyDescent="0.2">
      <c r="A11" s="416" t="s">
        <v>110</v>
      </c>
      <c r="B11" s="415"/>
      <c r="C11" s="642">
        <f>'C2C'!C27</f>
        <v>0</v>
      </c>
      <c r="D11" s="670">
        <f>'C2C'!D27</f>
        <v>26242986.682700001</v>
      </c>
      <c r="E11" s="408">
        <f>'C2C'!E27</f>
        <v>0</v>
      </c>
      <c r="F11" s="408">
        <f>'C2C'!F27</f>
        <v>6213415.0700000003</v>
      </c>
      <c r="G11" s="408">
        <f>'C2C'!G27</f>
        <v>6846368.379999999</v>
      </c>
      <c r="H11" s="408">
        <f>'C2C'!H27</f>
        <v>6560746.6706750002</v>
      </c>
      <c r="I11" s="47">
        <f t="shared" si="1"/>
        <v>285621.70932499878</v>
      </c>
      <c r="J11" s="200">
        <f t="shared" si="2"/>
        <v>4.3534939491210789E-2</v>
      </c>
      <c r="K11" s="642">
        <f>'C2C'!K27</f>
        <v>26242986.682700001</v>
      </c>
      <c r="L11" s="100"/>
      <c r="Q11" s="69"/>
      <c r="R11" s="70"/>
    </row>
    <row r="12" spans="1:18" ht="12.75" customHeight="1" x14ac:dyDescent="0.2">
      <c r="A12" s="416" t="s">
        <v>111</v>
      </c>
      <c r="B12" s="415"/>
      <c r="C12" s="642">
        <f>'C2C'!C49</f>
        <v>0</v>
      </c>
      <c r="D12" s="670">
        <f>'C2C'!D49</f>
        <v>11002054.78726843</v>
      </c>
      <c r="E12" s="408">
        <f>'C2C'!E49</f>
        <v>0</v>
      </c>
      <c r="F12" s="408">
        <f>'C2C'!F49</f>
        <v>-281643.05000000005</v>
      </c>
      <c r="G12" s="408">
        <f>'C2C'!G49</f>
        <v>8007.3599999999351</v>
      </c>
      <c r="H12" s="408">
        <f>'C2C'!H49</f>
        <v>2750513.6968171075</v>
      </c>
      <c r="I12" s="47">
        <f t="shared" si="1"/>
        <v>-2742506.3368171076</v>
      </c>
      <c r="J12" s="200">
        <f t="shared" si="2"/>
        <v>-0.99708877654044548</v>
      </c>
      <c r="K12" s="642">
        <f>'C2C'!K49</f>
        <v>11002054.78726843</v>
      </c>
      <c r="L12" s="100"/>
      <c r="Q12" s="69"/>
      <c r="R12" s="70"/>
    </row>
    <row r="13" spans="1:18" ht="12.75" customHeight="1" x14ac:dyDescent="0.2">
      <c r="A13" s="416" t="s">
        <v>112</v>
      </c>
      <c r="B13" s="415"/>
      <c r="C13" s="642">
        <f>'C2C'!C55</f>
        <v>0</v>
      </c>
      <c r="D13" s="670">
        <f>'C2C'!D55</f>
        <v>3768735.4638999999</v>
      </c>
      <c r="E13" s="408">
        <f>'C2C'!E55</f>
        <v>0</v>
      </c>
      <c r="F13" s="408">
        <f>'C2C'!F55</f>
        <v>102049.74999988318</v>
      </c>
      <c r="G13" s="408">
        <f>'C2C'!G55</f>
        <v>375879.27999975206</v>
      </c>
      <c r="H13" s="408">
        <f>'C2C'!H55</f>
        <v>942183.86597499996</v>
      </c>
      <c r="I13" s="47">
        <f t="shared" si="1"/>
        <v>-566304.5859752479</v>
      </c>
      <c r="J13" s="200">
        <f t="shared" si="2"/>
        <v>-0.60105527851426221</v>
      </c>
      <c r="K13" s="642">
        <f>'C2C'!K55</f>
        <v>3768735.4638999999</v>
      </c>
      <c r="L13" s="100"/>
      <c r="Q13" s="69"/>
      <c r="R13" s="70"/>
    </row>
    <row r="14" spans="1:18" ht="12.75" customHeight="1" x14ac:dyDescent="0.2">
      <c r="A14" s="416" t="s">
        <v>711</v>
      </c>
      <c r="B14" s="415"/>
      <c r="C14" s="642">
        <f>'C2C'!C64</f>
        <v>0</v>
      </c>
      <c r="D14" s="670">
        <f>'C2C'!D64</f>
        <v>328237277.54334736</v>
      </c>
      <c r="E14" s="408">
        <f>'C2C'!E64</f>
        <v>0</v>
      </c>
      <c r="F14" s="408">
        <f>'C2C'!F64</f>
        <v>15321362.449999997</v>
      </c>
      <c r="G14" s="408">
        <f>'C2C'!G64</f>
        <v>26251315.129999999</v>
      </c>
      <c r="H14" s="408">
        <f>'C2C'!H64</f>
        <v>82059319.38583684</v>
      </c>
      <c r="I14" s="47">
        <f t="shared" ref="I14:I19" si="4">G14-H14</f>
        <v>-55808004.255836844</v>
      </c>
      <c r="J14" s="200">
        <f t="shared" ref="J14:J19" si="5">IF(I14=0,"",I14/H14)</f>
        <v>-0.68009343330562788</v>
      </c>
      <c r="K14" s="642">
        <f>'C2C'!K64</f>
        <v>328237277.54334736</v>
      </c>
      <c r="L14" s="100"/>
      <c r="Q14" s="69"/>
      <c r="R14" s="70"/>
    </row>
    <row r="15" spans="1:18" ht="12.75" customHeight="1" x14ac:dyDescent="0.2">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
      <c r="A16" s="414" t="s">
        <v>113</v>
      </c>
      <c r="B16" s="417"/>
      <c r="C16" s="641">
        <f t="shared" ref="C16:H16" si="6">SUM(C17:C19)</f>
        <v>0</v>
      </c>
      <c r="D16" s="669">
        <f t="shared" si="6"/>
        <v>106923434.37381519</v>
      </c>
      <c r="E16" s="637">
        <f t="shared" si="6"/>
        <v>0</v>
      </c>
      <c r="F16" s="637">
        <f t="shared" si="6"/>
        <v>18819399.580000002</v>
      </c>
      <c r="G16" s="637">
        <f t="shared" si="6"/>
        <v>28465247.419999998</v>
      </c>
      <c r="H16" s="637">
        <f t="shared" si="6"/>
        <v>26730858.593453798</v>
      </c>
      <c r="I16" s="47">
        <f t="shared" si="4"/>
        <v>1734388.8265461996</v>
      </c>
      <c r="J16" s="200">
        <f t="shared" si="5"/>
        <v>6.4883393867899902E-2</v>
      </c>
      <c r="K16" s="641">
        <f>SUM(K17:K19)</f>
        <v>106923434.37381519</v>
      </c>
      <c r="L16" s="100"/>
      <c r="Q16" s="69"/>
      <c r="R16" s="70"/>
    </row>
    <row r="17" spans="1:18" ht="12.75" customHeight="1" x14ac:dyDescent="0.2">
      <c r="A17" s="416" t="s">
        <v>114</v>
      </c>
      <c r="B17" s="415"/>
      <c r="C17" s="642">
        <f>'C2C'!C76</f>
        <v>0</v>
      </c>
      <c r="D17" s="670">
        <f>'C2C'!D76</f>
        <v>41022287.158399999</v>
      </c>
      <c r="E17" s="408">
        <f>'C2C'!E76</f>
        <v>0</v>
      </c>
      <c r="F17" s="408">
        <f>'C2C'!F76</f>
        <v>56447.05</v>
      </c>
      <c r="G17" s="408">
        <f>'C2C'!G76</f>
        <v>-755923.01</v>
      </c>
      <c r="H17" s="408">
        <f>'C2C'!H76</f>
        <v>10255571.7896</v>
      </c>
      <c r="I17" s="47">
        <f t="shared" si="4"/>
        <v>-11011494.7996</v>
      </c>
      <c r="J17" s="200">
        <f t="shared" si="5"/>
        <v>-1.0737085191843294</v>
      </c>
      <c r="K17" s="642">
        <f>'C2C'!K76</f>
        <v>41022287.158399999</v>
      </c>
      <c r="L17" s="100"/>
      <c r="Q17" s="69"/>
      <c r="R17" s="70"/>
    </row>
    <row r="18" spans="1:18" ht="12.75" customHeight="1" x14ac:dyDescent="0.2">
      <c r="A18" s="416" t="s">
        <v>115</v>
      </c>
      <c r="B18" s="415"/>
      <c r="C18" s="642">
        <f>'C2C'!C87</f>
        <v>0</v>
      </c>
      <c r="D18" s="670">
        <f>'C2C'!D87</f>
        <v>65792799.755315199</v>
      </c>
      <c r="E18" s="408">
        <f>'C2C'!E87</f>
        <v>0</v>
      </c>
      <c r="F18" s="408">
        <f>'C2C'!F87</f>
        <v>18762952.530000001</v>
      </c>
      <c r="G18" s="408">
        <f>'C2C'!G87</f>
        <v>29212670.43</v>
      </c>
      <c r="H18" s="408">
        <f>'C2C'!H87</f>
        <v>16448199.9388288</v>
      </c>
      <c r="I18" s="47">
        <f t="shared" si="4"/>
        <v>12764470.4911712</v>
      </c>
      <c r="J18" s="200">
        <f t="shared" si="5"/>
        <v>0.77604057213813871</v>
      </c>
      <c r="K18" s="642">
        <f>'C2C'!K87</f>
        <v>65792799.755315199</v>
      </c>
      <c r="L18" s="100"/>
      <c r="Q18" s="69"/>
      <c r="R18" s="70"/>
    </row>
    <row r="19" spans="1:18" ht="12.75" customHeight="1" x14ac:dyDescent="0.2">
      <c r="A19" s="416" t="s">
        <v>116</v>
      </c>
      <c r="B19" s="415"/>
      <c r="C19" s="642">
        <f>'C2C'!C92</f>
        <v>0</v>
      </c>
      <c r="D19" s="670">
        <f>'C2C'!D92</f>
        <v>108347.4601</v>
      </c>
      <c r="E19" s="408">
        <f>'C2C'!E92</f>
        <v>0</v>
      </c>
      <c r="F19" s="408">
        <f>'C2C'!F92</f>
        <v>0</v>
      </c>
      <c r="G19" s="408">
        <f>'C2C'!G92</f>
        <v>8500</v>
      </c>
      <c r="H19" s="408">
        <f>'C2C'!H92</f>
        <v>27086.865024999999</v>
      </c>
      <c r="I19" s="47">
        <f t="shared" si="4"/>
        <v>-18586.865024999999</v>
      </c>
      <c r="J19" s="200">
        <f t="shared" si="5"/>
        <v>-0.68619476664594192</v>
      </c>
      <c r="K19" s="642">
        <f>'C2C'!K92</f>
        <v>108347.4601</v>
      </c>
      <c r="L19" s="100"/>
      <c r="Q19" s="69"/>
      <c r="R19" s="70"/>
    </row>
    <row r="20" spans="1:18" ht="12.75" customHeight="1" x14ac:dyDescent="0.2">
      <c r="A20" s="414" t="s">
        <v>117</v>
      </c>
      <c r="B20" s="417"/>
      <c r="C20" s="641">
        <f>SUM(C21:C24)</f>
        <v>0</v>
      </c>
      <c r="D20" s="669">
        <f t="shared" ref="D20:I20" si="7">SUM(D21:D24)</f>
        <v>4331953791.0175152</v>
      </c>
      <c r="E20" s="637">
        <f t="shared" si="7"/>
        <v>0</v>
      </c>
      <c r="F20" s="637">
        <f t="shared" si="7"/>
        <v>316113623.11000001</v>
      </c>
      <c r="G20" s="637">
        <f t="shared" si="7"/>
        <v>1068347202.6900003</v>
      </c>
      <c r="H20" s="637">
        <f t="shared" si="7"/>
        <v>1082988447.7543788</v>
      </c>
      <c r="I20" s="47">
        <f t="shared" si="7"/>
        <v>-14641245.064378649</v>
      </c>
      <c r="J20" s="200">
        <f t="shared" si="2"/>
        <v>-1.3519299393024806E-2</v>
      </c>
      <c r="K20" s="641">
        <f>SUM(K21:K24)</f>
        <v>4331953791.0175152</v>
      </c>
      <c r="L20" s="100"/>
      <c r="Q20" s="69"/>
      <c r="R20" s="70"/>
    </row>
    <row r="21" spans="1:18" ht="12.75" customHeight="1" x14ac:dyDescent="0.2">
      <c r="A21" s="416" t="s">
        <v>1191</v>
      </c>
      <c r="B21" s="415"/>
      <c r="C21" s="642">
        <f>'C2C'!C100</f>
        <v>0</v>
      </c>
      <c r="D21" s="670">
        <f>'C2C'!D100</f>
        <v>2655002808.9206858</v>
      </c>
      <c r="E21" s="408">
        <f>'C2C'!E100</f>
        <v>0</v>
      </c>
      <c r="F21" s="408">
        <f>'C2C'!F100</f>
        <v>205806260.23000002</v>
      </c>
      <c r="G21" s="408">
        <f>'C2C'!G100</f>
        <v>645138249.0200001</v>
      </c>
      <c r="H21" s="408">
        <f>'C2C'!H100</f>
        <v>663750702.23017144</v>
      </c>
      <c r="I21" s="47">
        <f>G21-H21</f>
        <v>-18612453.210171342</v>
      </c>
      <c r="J21" s="200">
        <f t="shared" si="2"/>
        <v>-2.8041331101623494E-2</v>
      </c>
      <c r="K21" s="642">
        <f>'C2C'!K100</f>
        <v>2655002808.9206858</v>
      </c>
      <c r="L21" s="100"/>
      <c r="Q21" s="69"/>
      <c r="R21" s="70"/>
    </row>
    <row r="22" spans="1:18" ht="12.75" customHeight="1" x14ac:dyDescent="0.2">
      <c r="A22" s="416" t="s">
        <v>1195</v>
      </c>
      <c r="B22" s="415"/>
      <c r="C22" s="642">
        <f>'C2C'!C104</f>
        <v>0</v>
      </c>
      <c r="D22" s="670">
        <f>'C2C'!D104</f>
        <v>1253549994.0011687</v>
      </c>
      <c r="E22" s="408">
        <f>'C2C'!E104</f>
        <v>0</v>
      </c>
      <c r="F22" s="408">
        <f>'C2C'!F104</f>
        <v>80647178.88000001</v>
      </c>
      <c r="G22" s="408">
        <f>'C2C'!G104</f>
        <v>314621533.77000004</v>
      </c>
      <c r="H22" s="408">
        <f>'C2C'!H104</f>
        <v>313387498.50029218</v>
      </c>
      <c r="I22" s="47">
        <f>G22-H22</f>
        <v>1234035.2697078586</v>
      </c>
      <c r="J22" s="200">
        <f t="shared" si="2"/>
        <v>3.9377297295307015E-3</v>
      </c>
      <c r="K22" s="642">
        <f>'C2C'!K104</f>
        <v>1253549994.0011687</v>
      </c>
      <c r="L22" s="100"/>
      <c r="Q22" s="69"/>
      <c r="R22" s="70"/>
    </row>
    <row r="23" spans="1:18" ht="12.75" customHeight="1" x14ac:dyDescent="0.2">
      <c r="A23" s="416" t="s">
        <v>118</v>
      </c>
      <c r="B23" s="415"/>
      <c r="C23" s="643">
        <f>'C2C'!C108</f>
        <v>0</v>
      </c>
      <c r="D23" s="671">
        <f>'C2C'!D108</f>
        <v>173542219.90182328</v>
      </c>
      <c r="E23" s="672">
        <f>'C2C'!E108</f>
        <v>0</v>
      </c>
      <c r="F23" s="672">
        <f>'C2C'!F108</f>
        <v>20244447.729999997</v>
      </c>
      <c r="G23" s="672">
        <f>'C2C'!G108</f>
        <v>69538919.439999998</v>
      </c>
      <c r="H23" s="672">
        <f>'C2C'!H108</f>
        <v>43385554.975455821</v>
      </c>
      <c r="I23" s="47">
        <f>G23-H23</f>
        <v>26153364.464544177</v>
      </c>
      <c r="J23" s="200">
        <f t="shared" si="2"/>
        <v>0.60281272140784459</v>
      </c>
      <c r="K23" s="673">
        <f>'C2C'!K108</f>
        <v>173542219.90182328</v>
      </c>
      <c r="L23" s="100"/>
      <c r="Q23" s="69"/>
      <c r="R23" s="70"/>
    </row>
    <row r="24" spans="1:18" ht="12.75" customHeight="1" x14ac:dyDescent="0.2">
      <c r="A24" s="416" t="s">
        <v>119</v>
      </c>
      <c r="B24" s="415"/>
      <c r="C24" s="642">
        <f>'C2C'!C113</f>
        <v>0</v>
      </c>
      <c r="D24" s="670">
        <f>'C2C'!D113</f>
        <v>249858768.1938374</v>
      </c>
      <c r="E24" s="408">
        <f>'C2C'!E113</f>
        <v>0</v>
      </c>
      <c r="F24" s="408">
        <f>'C2C'!F113</f>
        <v>9415736.2699999996</v>
      </c>
      <c r="G24" s="408">
        <f>'C2C'!G113</f>
        <v>39048500.460000008</v>
      </c>
      <c r="H24" s="408">
        <f>'C2C'!H113</f>
        <v>62464692.048459351</v>
      </c>
      <c r="I24" s="47">
        <f>G24-H24</f>
        <v>-23416191.588459343</v>
      </c>
      <c r="J24" s="200">
        <f t="shared" si="2"/>
        <v>-0.37487084015868266</v>
      </c>
      <c r="K24" s="642">
        <f>'C2C'!K113</f>
        <v>249858768.1938374</v>
      </c>
      <c r="L24" s="100"/>
      <c r="Q24" s="69"/>
      <c r="R24" s="70"/>
    </row>
    <row r="25" spans="1:18" ht="12.75" customHeight="1" x14ac:dyDescent="0.2">
      <c r="A25" s="414" t="s">
        <v>718</v>
      </c>
      <c r="B25" s="417">
        <v>4</v>
      </c>
      <c r="C25" s="641">
        <f>'C2C'!C118</f>
        <v>0</v>
      </c>
      <c r="D25" s="669">
        <f>'C2C'!D118</f>
        <v>63610900.686000004</v>
      </c>
      <c r="E25" s="637">
        <f>'C2C'!E118</f>
        <v>0</v>
      </c>
      <c r="F25" s="637">
        <f>'C2C'!F118</f>
        <v>4143942.9699999993</v>
      </c>
      <c r="G25" s="637">
        <f>'C2C'!G118</f>
        <v>6680979.669999999</v>
      </c>
      <c r="H25" s="637">
        <f>'C2C'!H118</f>
        <v>15902725.171500001</v>
      </c>
      <c r="I25" s="102">
        <f>G25-H25</f>
        <v>-9221745.501500003</v>
      </c>
      <c r="J25" s="713">
        <f t="shared" si="2"/>
        <v>-0.57988460481142656</v>
      </c>
      <c r="K25" s="641">
        <f>'C2C'!K118</f>
        <v>63610900.686000004</v>
      </c>
      <c r="L25" s="100"/>
      <c r="Q25" s="69"/>
      <c r="R25" s="70"/>
    </row>
    <row r="26" spans="1:18" ht="12.75" customHeight="1" x14ac:dyDescent="0.2">
      <c r="A26" s="92" t="s">
        <v>1208</v>
      </c>
      <c r="B26" s="585">
        <v>2</v>
      </c>
      <c r="C26" s="644">
        <f>C6+C10+C16+C20+C25</f>
        <v>0</v>
      </c>
      <c r="D26" s="598">
        <f t="shared" ref="D26:I26" si="8">D6+D10+D16+D20+D25</f>
        <v>6444077682.8720617</v>
      </c>
      <c r="E26" s="545">
        <f t="shared" si="8"/>
        <v>0</v>
      </c>
      <c r="F26" s="545">
        <f t="shared" si="8"/>
        <v>473425335.8499999</v>
      </c>
      <c r="G26" s="545">
        <f t="shared" si="8"/>
        <v>1603642837.3700001</v>
      </c>
      <c r="H26" s="545">
        <f t="shared" si="8"/>
        <v>1611019420.7180154</v>
      </c>
      <c r="I26" s="545">
        <f t="shared" si="8"/>
        <v>-7376583.3480155468</v>
      </c>
      <c r="J26" s="599">
        <f t="shared" si="2"/>
        <v>-4.5788295616746048E-3</v>
      </c>
      <c r="K26" s="597">
        <f>K6+K10+K16+K20+K25</f>
        <v>6444077682.8720617</v>
      </c>
      <c r="L26" s="100"/>
      <c r="Q26" s="71"/>
      <c r="R26" s="72"/>
    </row>
    <row r="27" spans="1:18" ht="5.0999999999999996" customHeight="1" x14ac:dyDescent="0.2">
      <c r="A27" s="42"/>
      <c r="B27" s="426"/>
      <c r="C27" s="645"/>
      <c r="D27" s="532"/>
      <c r="E27" s="47"/>
      <c r="F27" s="47"/>
      <c r="G27" s="47"/>
      <c r="H27" s="47"/>
      <c r="I27" s="47"/>
      <c r="J27" s="47"/>
      <c r="K27" s="385"/>
      <c r="L27" s="100"/>
      <c r="Q27" s="66"/>
    </row>
    <row r="28" spans="1:18" ht="12.75" customHeight="1" x14ac:dyDescent="0.2">
      <c r="A28" s="35" t="s">
        <v>1204</v>
      </c>
      <c r="B28" s="427"/>
      <c r="C28" s="645"/>
      <c r="D28" s="532"/>
      <c r="E28" s="47"/>
      <c r="F28" s="47"/>
      <c r="G28" s="47"/>
      <c r="H28" s="47"/>
      <c r="I28" s="47"/>
      <c r="J28" s="47"/>
      <c r="K28" s="385"/>
      <c r="L28" s="100"/>
      <c r="Q28" s="66"/>
    </row>
    <row r="29" spans="1:18" ht="12.75" customHeight="1" x14ac:dyDescent="0.2">
      <c r="A29" s="414" t="s">
        <v>138</v>
      </c>
      <c r="B29" s="428"/>
      <c r="C29" s="641">
        <f t="shared" ref="C29:H29" si="9">SUM(C30:C32)</f>
        <v>0</v>
      </c>
      <c r="D29" s="669">
        <f t="shared" si="9"/>
        <v>1354264744.2416518</v>
      </c>
      <c r="E29" s="637">
        <f t="shared" si="9"/>
        <v>0</v>
      </c>
      <c r="F29" s="637">
        <f t="shared" si="9"/>
        <v>73870506.219999999</v>
      </c>
      <c r="G29" s="637">
        <f t="shared" si="9"/>
        <v>190930405.28999999</v>
      </c>
      <c r="H29" s="637">
        <f t="shared" si="9"/>
        <v>338566186.06041294</v>
      </c>
      <c r="I29" s="47">
        <f t="shared" ref="I29:I48" si="10">G29-H29</f>
        <v>-147635780.77041295</v>
      </c>
      <c r="J29" s="200">
        <f>IF(I29=0,"",I29/H29)</f>
        <v>-0.43606180076137069</v>
      </c>
      <c r="K29" s="641">
        <f>SUM(K30:K32)</f>
        <v>1354264744.2416518</v>
      </c>
      <c r="L29" s="100"/>
      <c r="Q29" s="69"/>
    </row>
    <row r="30" spans="1:18" ht="12.75" customHeight="1" x14ac:dyDescent="0.2">
      <c r="A30" s="416" t="s">
        <v>108</v>
      </c>
      <c r="B30" s="428"/>
      <c r="C30" s="642">
        <f>'C2C'!C129</f>
        <v>0</v>
      </c>
      <c r="D30" s="670">
        <f>'C2C'!D129</f>
        <v>137732466.40184778</v>
      </c>
      <c r="E30" s="408">
        <f>'C2C'!E129</f>
        <v>0</v>
      </c>
      <c r="F30" s="408">
        <f>'C2C'!F129</f>
        <v>13861312.450000003</v>
      </c>
      <c r="G30" s="408">
        <f>'C2C'!G129</f>
        <v>26542364.199999988</v>
      </c>
      <c r="H30" s="408">
        <f>'C2C'!H129</f>
        <v>34433116.600461945</v>
      </c>
      <c r="I30" s="47">
        <f t="shared" si="10"/>
        <v>-7890752.4004619569</v>
      </c>
      <c r="J30" s="200">
        <f t="shared" ref="J30:J49" si="11">IF(I30=0,"",I30/H30)</f>
        <v>-0.22916172509217758</v>
      </c>
      <c r="K30" s="642">
        <f>'C2C'!K129</f>
        <v>137732466.40184778</v>
      </c>
      <c r="L30" s="100"/>
      <c r="Q30" s="69"/>
    </row>
    <row r="31" spans="1:18" ht="12.75" customHeight="1" x14ac:dyDescent="0.2">
      <c r="A31" s="416" t="s">
        <v>1123</v>
      </c>
      <c r="B31" s="428"/>
      <c r="C31" s="643">
        <f>'C2C'!C132</f>
        <v>0</v>
      </c>
      <c r="D31" s="671">
        <f>'C2C'!D132</f>
        <v>1194545745.0547059</v>
      </c>
      <c r="E31" s="672">
        <f>'C2C'!E132</f>
        <v>0</v>
      </c>
      <c r="F31" s="672">
        <f>'C2C'!F132</f>
        <v>57947059.899999991</v>
      </c>
      <c r="G31" s="672">
        <f>'C2C'!G132</f>
        <v>161277885.75999999</v>
      </c>
      <c r="H31" s="672">
        <f>'C2C'!H132</f>
        <v>298636436.26367646</v>
      </c>
      <c r="I31" s="47">
        <f t="shared" si="10"/>
        <v>-137358550.50367647</v>
      </c>
      <c r="J31" s="200">
        <f t="shared" si="11"/>
        <v>-0.45995241646400392</v>
      </c>
      <c r="K31" s="673">
        <f>'C2C'!K132</f>
        <v>1194545745.0547059</v>
      </c>
      <c r="L31" s="100"/>
      <c r="Q31" s="69"/>
    </row>
    <row r="32" spans="1:18" ht="12.75" customHeight="1" x14ac:dyDescent="0.2">
      <c r="A32" s="416" t="s">
        <v>1134</v>
      </c>
      <c r="B32" s="428"/>
      <c r="C32" s="642">
        <f>'C2C'!C146</f>
        <v>0</v>
      </c>
      <c r="D32" s="670">
        <f>'C2C'!D146</f>
        <v>21986532.785097998</v>
      </c>
      <c r="E32" s="408">
        <f>'C2C'!E146</f>
        <v>0</v>
      </c>
      <c r="F32" s="408">
        <f>'C2C'!F146</f>
        <v>2062133.8699999999</v>
      </c>
      <c r="G32" s="408">
        <f>'C2C'!G146</f>
        <v>3110155.330000001</v>
      </c>
      <c r="H32" s="408">
        <f>'C2C'!H146</f>
        <v>5496633.1962744994</v>
      </c>
      <c r="I32" s="47">
        <f t="shared" si="10"/>
        <v>-2386477.8662744984</v>
      </c>
      <c r="J32" s="200">
        <f t="shared" si="11"/>
        <v>-0.43417084259724703</v>
      </c>
      <c r="K32" s="642">
        <f>'C2C'!K146</f>
        <v>21986532.785097998</v>
      </c>
      <c r="L32" s="100"/>
      <c r="Q32" s="69"/>
    </row>
    <row r="33" spans="1:17" ht="12.75" customHeight="1" x14ac:dyDescent="0.2">
      <c r="A33" s="414" t="s">
        <v>109</v>
      </c>
      <c r="B33" s="428"/>
      <c r="C33" s="641">
        <f t="shared" ref="C33:H33" si="12">SUM(C34:C38)</f>
        <v>0</v>
      </c>
      <c r="D33" s="669">
        <f t="shared" si="12"/>
        <v>440067727.15977156</v>
      </c>
      <c r="E33" s="637">
        <f t="shared" si="12"/>
        <v>0</v>
      </c>
      <c r="F33" s="637">
        <f t="shared" si="12"/>
        <v>40069040.499999985</v>
      </c>
      <c r="G33" s="637">
        <f t="shared" si="12"/>
        <v>110443840.39000016</v>
      </c>
      <c r="H33" s="637">
        <f t="shared" si="12"/>
        <v>110016931.78994291</v>
      </c>
      <c r="I33" s="47">
        <f t="shared" si="10"/>
        <v>426908.6000572592</v>
      </c>
      <c r="J33" s="200">
        <f t="shared" si="11"/>
        <v>3.8803899828106698E-3</v>
      </c>
      <c r="K33" s="641">
        <f>SUM(K34:K38)</f>
        <v>440067727.15977156</v>
      </c>
      <c r="L33" s="100"/>
      <c r="Q33" s="69"/>
    </row>
    <row r="34" spans="1:17" ht="12.75" customHeight="1" x14ac:dyDescent="0.2">
      <c r="A34" s="416" t="s">
        <v>110</v>
      </c>
      <c r="B34" s="428"/>
      <c r="C34" s="642">
        <f>'C2C'!C149</f>
        <v>0</v>
      </c>
      <c r="D34" s="670">
        <f>'C2C'!D149</f>
        <v>128373725.79885694</v>
      </c>
      <c r="E34" s="408">
        <f>'C2C'!E149</f>
        <v>0</v>
      </c>
      <c r="F34" s="408">
        <f>'C2C'!F149</f>
        <v>9265925.7899999972</v>
      </c>
      <c r="G34" s="408">
        <f>'C2C'!G149</f>
        <v>24975186.040000003</v>
      </c>
      <c r="H34" s="408">
        <f>'C2C'!H149</f>
        <v>32093431.44971424</v>
      </c>
      <c r="I34" s="47">
        <f t="shared" si="10"/>
        <v>-7118245.4097142369</v>
      </c>
      <c r="J34" s="200">
        <f t="shared" si="11"/>
        <v>-0.22179757938528627</v>
      </c>
      <c r="K34" s="642">
        <f>'C2C'!K149</f>
        <v>128373725.79885694</v>
      </c>
      <c r="L34" s="100"/>
      <c r="Q34" s="69"/>
    </row>
    <row r="35" spans="1:17" ht="12.75" customHeight="1" x14ac:dyDescent="0.2">
      <c r="A35" s="416" t="s">
        <v>111</v>
      </c>
      <c r="B35" s="428"/>
      <c r="C35" s="642">
        <f>'C2C'!C171</f>
        <v>0</v>
      </c>
      <c r="D35" s="670">
        <f>'C2C'!D171</f>
        <v>114418472.68896006</v>
      </c>
      <c r="E35" s="408">
        <f>'C2C'!E171</f>
        <v>0</v>
      </c>
      <c r="F35" s="408">
        <f>'C2C'!F171</f>
        <v>8499169.1900000013</v>
      </c>
      <c r="G35" s="408">
        <f>'C2C'!G171</f>
        <v>24834538.629999995</v>
      </c>
      <c r="H35" s="408">
        <f>'C2C'!H171</f>
        <v>28604618.172240015</v>
      </c>
      <c r="I35" s="47">
        <f t="shared" si="10"/>
        <v>-3770079.5422400199</v>
      </c>
      <c r="J35" s="200">
        <f t="shared" si="11"/>
        <v>-0.1317996807207438</v>
      </c>
      <c r="K35" s="642">
        <f>'C2C'!K171</f>
        <v>114418472.68896006</v>
      </c>
      <c r="L35" s="100"/>
      <c r="Q35" s="69"/>
    </row>
    <row r="36" spans="1:17" ht="12.75" customHeight="1" x14ac:dyDescent="0.2">
      <c r="A36" s="416" t="s">
        <v>112</v>
      </c>
      <c r="B36" s="426"/>
      <c r="C36" s="642">
        <f>'C2C'!C177</f>
        <v>0</v>
      </c>
      <c r="D36" s="670">
        <f>'C2C'!D177</f>
        <v>106871795.2822189</v>
      </c>
      <c r="E36" s="408">
        <f>'C2C'!E177</f>
        <v>0</v>
      </c>
      <c r="F36" s="408">
        <f>'C2C'!F177</f>
        <v>16937358.609999992</v>
      </c>
      <c r="G36" s="408">
        <f>'C2C'!G177</f>
        <v>46694186.380000159</v>
      </c>
      <c r="H36" s="408">
        <f>'C2C'!H177</f>
        <v>26717948.820554726</v>
      </c>
      <c r="I36" s="47">
        <f t="shared" si="10"/>
        <v>19976237.559445433</v>
      </c>
      <c r="J36" s="200">
        <f t="shared" si="11"/>
        <v>0.7476710766088922</v>
      </c>
      <c r="K36" s="642">
        <f>'C2C'!K177</f>
        <v>106871795.2822189</v>
      </c>
      <c r="L36" s="100"/>
      <c r="Q36" s="70"/>
    </row>
    <row r="37" spans="1:17" ht="12.75" customHeight="1" x14ac:dyDescent="0.2">
      <c r="A37" s="416" t="s">
        <v>711</v>
      </c>
      <c r="B37" s="426"/>
      <c r="C37" s="642">
        <f>'C2C'!C186</f>
        <v>0</v>
      </c>
      <c r="D37" s="670">
        <f>'C2C'!D186</f>
        <v>90129848.361797929</v>
      </c>
      <c r="E37" s="408">
        <f>'C2C'!E186</f>
        <v>0</v>
      </c>
      <c r="F37" s="408">
        <f>'C2C'!F186</f>
        <v>4626763.580000001</v>
      </c>
      <c r="G37" s="408">
        <f>'C2C'!G186</f>
        <v>11707329.500000004</v>
      </c>
      <c r="H37" s="408">
        <f>'C2C'!H186</f>
        <v>22532462.090449482</v>
      </c>
      <c r="I37" s="47">
        <f t="shared" si="10"/>
        <v>-10825132.590449478</v>
      </c>
      <c r="J37" s="200">
        <f t="shared" si="11"/>
        <v>-0.48042386788427238</v>
      </c>
      <c r="K37" s="642">
        <f>'C2C'!K186</f>
        <v>90129848.361797929</v>
      </c>
      <c r="L37" s="100"/>
      <c r="Q37" s="70"/>
    </row>
    <row r="38" spans="1:17" ht="12.75" customHeight="1" x14ac:dyDescent="0.2">
      <c r="A38" s="416" t="s">
        <v>610</v>
      </c>
      <c r="B38" s="426"/>
      <c r="C38" s="643">
        <f>'C2C'!C189</f>
        <v>0</v>
      </c>
      <c r="D38" s="671">
        <f>'C2C'!D189</f>
        <v>273885.02793777513</v>
      </c>
      <c r="E38" s="672">
        <f>'C2C'!E189</f>
        <v>0</v>
      </c>
      <c r="F38" s="672">
        <f>'C2C'!F189</f>
        <v>739823.33000000007</v>
      </c>
      <c r="G38" s="672">
        <f>'C2C'!G189</f>
        <v>2232599.84</v>
      </c>
      <c r="H38" s="672">
        <f>'C2C'!H189</f>
        <v>68471.256984443782</v>
      </c>
      <c r="I38" s="47">
        <f t="shared" si="10"/>
        <v>2164128.583015556</v>
      </c>
      <c r="J38" s="200">
        <f t="shared" si="11"/>
        <v>31.606380229111782</v>
      </c>
      <c r="K38" s="673">
        <f>'C2C'!K189</f>
        <v>273885.02793777513</v>
      </c>
      <c r="L38" s="100"/>
      <c r="Q38" s="70"/>
    </row>
    <row r="39" spans="1:17" ht="12.75" customHeight="1" x14ac:dyDescent="0.2">
      <c r="A39" s="414" t="s">
        <v>113</v>
      </c>
      <c r="B39" s="426"/>
      <c r="C39" s="641">
        <f t="shared" ref="C39:H39" si="13">SUM(C40:C42)</f>
        <v>0</v>
      </c>
      <c r="D39" s="669">
        <f t="shared" si="13"/>
        <v>288173315.58344549</v>
      </c>
      <c r="E39" s="637">
        <f t="shared" si="13"/>
        <v>0</v>
      </c>
      <c r="F39" s="637">
        <f t="shared" si="13"/>
        <v>25223488.00999999</v>
      </c>
      <c r="G39" s="637">
        <f t="shared" si="13"/>
        <v>71240598.399999991</v>
      </c>
      <c r="H39" s="637">
        <f t="shared" si="13"/>
        <v>72043328.895861372</v>
      </c>
      <c r="I39" s="47">
        <f t="shared" si="10"/>
        <v>-802730.49586138129</v>
      </c>
      <c r="J39" s="200">
        <f t="shared" si="11"/>
        <v>-1.114232931992535E-2</v>
      </c>
      <c r="K39" s="641">
        <f>SUM(K40:K42)</f>
        <v>288173315.58344549</v>
      </c>
      <c r="L39" s="100"/>
      <c r="Q39" s="70"/>
    </row>
    <row r="40" spans="1:17" ht="12.75" customHeight="1" x14ac:dyDescent="0.2">
      <c r="A40" s="416" t="s">
        <v>114</v>
      </c>
      <c r="B40" s="426"/>
      <c r="C40" s="642">
        <f>'C2C'!C198</f>
        <v>0</v>
      </c>
      <c r="D40" s="670">
        <f>'C2C'!D198</f>
        <v>92239503.875528902</v>
      </c>
      <c r="E40" s="408">
        <f>'C2C'!E198</f>
        <v>0</v>
      </c>
      <c r="F40" s="408">
        <f>'C2C'!F198</f>
        <v>4764921.6499999985</v>
      </c>
      <c r="G40" s="408">
        <f>'C2C'!G198</f>
        <v>13801321.970000003</v>
      </c>
      <c r="H40" s="408">
        <f>'C2C'!H198</f>
        <v>23059875.968882225</v>
      </c>
      <c r="I40" s="47">
        <f t="shared" si="10"/>
        <v>-9258553.9988822229</v>
      </c>
      <c r="J40" s="200">
        <f t="shared" si="11"/>
        <v>-0.40150059832828366</v>
      </c>
      <c r="K40" s="642">
        <f>'C2C'!K198</f>
        <v>92239503.875528902</v>
      </c>
      <c r="L40" s="100"/>
      <c r="Q40" s="70"/>
    </row>
    <row r="41" spans="1:17" ht="12.75" customHeight="1" x14ac:dyDescent="0.2">
      <c r="A41" s="416" t="s">
        <v>115</v>
      </c>
      <c r="B41" s="426"/>
      <c r="C41" s="642">
        <f>'C2C'!C209</f>
        <v>0</v>
      </c>
      <c r="D41" s="670">
        <f>'C2C'!D209</f>
        <v>171068986.74871668</v>
      </c>
      <c r="E41" s="408">
        <f>'C2C'!E209</f>
        <v>0</v>
      </c>
      <c r="F41" s="408">
        <f>'C2C'!F209</f>
        <v>18903937.899999991</v>
      </c>
      <c r="G41" s="408">
        <f>'C2C'!G209</f>
        <v>52662126.289999984</v>
      </c>
      <c r="H41" s="408">
        <f>'C2C'!H209</f>
        <v>42767246.687179171</v>
      </c>
      <c r="I41" s="47">
        <f t="shared" si="10"/>
        <v>9894879.6028208137</v>
      </c>
      <c r="J41" s="200">
        <f t="shared" si="11"/>
        <v>0.23136583178236525</v>
      </c>
      <c r="K41" s="642">
        <f>'C2C'!K209</f>
        <v>171068986.74871668</v>
      </c>
      <c r="L41" s="100"/>
      <c r="Q41" s="70"/>
    </row>
    <row r="42" spans="1:17" ht="12.75" customHeight="1" x14ac:dyDescent="0.2">
      <c r="A42" s="416" t="s">
        <v>116</v>
      </c>
      <c r="B42" s="426"/>
      <c r="C42" s="642">
        <f>'C2C'!C214</f>
        <v>0</v>
      </c>
      <c r="D42" s="670">
        <f>'C2C'!D214</f>
        <v>24864824.959199883</v>
      </c>
      <c r="E42" s="408">
        <f>'C2C'!E214</f>
        <v>0</v>
      </c>
      <c r="F42" s="408">
        <f>'C2C'!F214</f>
        <v>1554628.4599999997</v>
      </c>
      <c r="G42" s="408">
        <f>'C2C'!G214</f>
        <v>4777150.1400000006</v>
      </c>
      <c r="H42" s="408">
        <f>'C2C'!H214</f>
        <v>6216206.2397999708</v>
      </c>
      <c r="I42" s="47">
        <f t="shared" si="10"/>
        <v>-1439056.0997999702</v>
      </c>
      <c r="J42" s="200">
        <f t="shared" si="11"/>
        <v>-0.23150070063413422</v>
      </c>
      <c r="K42" s="642">
        <f>'C2C'!K214</f>
        <v>24864824.959199883</v>
      </c>
      <c r="L42" s="100"/>
      <c r="Q42" s="70"/>
    </row>
    <row r="43" spans="1:17" ht="12.75" customHeight="1" x14ac:dyDescent="0.2">
      <c r="A43" s="414" t="s">
        <v>117</v>
      </c>
      <c r="B43" s="426"/>
      <c r="C43" s="641">
        <f>SUM(C44:C47)</f>
        <v>0</v>
      </c>
      <c r="D43" s="669">
        <f t="shared" ref="D43:I43" si="14">SUM(D44:D47)</f>
        <v>3353046546.6774907</v>
      </c>
      <c r="E43" s="637">
        <f t="shared" si="14"/>
        <v>0</v>
      </c>
      <c r="F43" s="637">
        <f t="shared" si="14"/>
        <v>592755326.78000009</v>
      </c>
      <c r="G43" s="637">
        <f t="shared" si="14"/>
        <v>1071711617.6799998</v>
      </c>
      <c r="H43" s="637">
        <f t="shared" si="14"/>
        <v>838261636.66937268</v>
      </c>
      <c r="I43" s="47">
        <f t="shared" si="14"/>
        <v>233449981.01062715</v>
      </c>
      <c r="J43" s="200">
        <f t="shared" si="11"/>
        <v>0.27849297975532256</v>
      </c>
      <c r="K43" s="641">
        <f>SUM(K44:K47)</f>
        <v>3353046546.6774907</v>
      </c>
      <c r="L43" s="100"/>
      <c r="Q43" s="70"/>
    </row>
    <row r="44" spans="1:17" ht="12.75" customHeight="1" x14ac:dyDescent="0.2">
      <c r="A44" s="416" t="s">
        <v>1191</v>
      </c>
      <c r="B44" s="426"/>
      <c r="C44" s="642">
        <f>'C2C'!C222</f>
        <v>0</v>
      </c>
      <c r="D44" s="670">
        <f>'C2C'!D222</f>
        <v>2291332272.7237678</v>
      </c>
      <c r="E44" s="408">
        <f>'C2C'!E222</f>
        <v>0</v>
      </c>
      <c r="F44" s="408">
        <f>'C2C'!F222</f>
        <v>481215725.31999999</v>
      </c>
      <c r="G44" s="408">
        <f>'C2C'!G222</f>
        <v>766905426.63999975</v>
      </c>
      <c r="H44" s="408">
        <f>'C2C'!H222</f>
        <v>572833068.18094194</v>
      </c>
      <c r="I44" s="47">
        <f t="shared" si="10"/>
        <v>194072358.45905781</v>
      </c>
      <c r="J44" s="200">
        <f t="shared" si="11"/>
        <v>0.33879391613222265</v>
      </c>
      <c r="K44" s="642">
        <f>'C2C'!K222</f>
        <v>2291332272.7237678</v>
      </c>
      <c r="L44" s="100"/>
      <c r="Q44" s="70"/>
    </row>
    <row r="45" spans="1:17" ht="12.75" customHeight="1" x14ac:dyDescent="0.2">
      <c r="A45" s="416" t="s">
        <v>1195</v>
      </c>
      <c r="B45" s="426"/>
      <c r="C45" s="642">
        <f>'C2C'!C226</f>
        <v>0</v>
      </c>
      <c r="D45" s="670">
        <f>'C2C'!D226</f>
        <v>0</v>
      </c>
      <c r="E45" s="408">
        <f>'C2C'!E226</f>
        <v>0</v>
      </c>
      <c r="F45" s="408">
        <f>'C2C'!F226</f>
        <v>80045424.280000001</v>
      </c>
      <c r="G45" s="408">
        <f>'C2C'!G226</f>
        <v>217153980.39000005</v>
      </c>
      <c r="H45" s="408">
        <f>'C2C'!H226</f>
        <v>0</v>
      </c>
      <c r="I45" s="47">
        <f t="shared" si="10"/>
        <v>217153980.39000005</v>
      </c>
      <c r="J45" s="200" t="e">
        <f t="shared" si="11"/>
        <v>#DIV/0!</v>
      </c>
      <c r="K45" s="642">
        <f>'C2C'!K226</f>
        <v>0</v>
      </c>
      <c r="L45" s="100"/>
      <c r="Q45" s="70"/>
    </row>
    <row r="46" spans="1:17" ht="12.75" customHeight="1" x14ac:dyDescent="0.2">
      <c r="A46" s="416" t="s">
        <v>118</v>
      </c>
      <c r="B46" s="426"/>
      <c r="C46" s="643">
        <f>'C2C'!C230</f>
        <v>0</v>
      </c>
      <c r="D46" s="671">
        <f>'C2C'!D230</f>
        <v>931929869.0260967</v>
      </c>
      <c r="E46" s="672">
        <f>'C2C'!E230</f>
        <v>0</v>
      </c>
      <c r="F46" s="672">
        <f>'C2C'!F230</f>
        <v>21202574.839999996</v>
      </c>
      <c r="G46" s="672">
        <f>'C2C'!G230</f>
        <v>61761650.710000001</v>
      </c>
      <c r="H46" s="672">
        <f>'C2C'!H230</f>
        <v>232982467.25652418</v>
      </c>
      <c r="I46" s="47">
        <f t="shared" si="10"/>
        <v>-171220816.54652417</v>
      </c>
      <c r="J46" s="200">
        <f t="shared" si="11"/>
        <v>-0.73490859017302079</v>
      </c>
      <c r="K46" s="673">
        <f>'C2C'!K230</f>
        <v>931929869.0260967</v>
      </c>
      <c r="L46" s="100"/>
      <c r="Q46" s="70"/>
    </row>
    <row r="47" spans="1:17" ht="12.75" customHeight="1" x14ac:dyDescent="0.2">
      <c r="A47" s="416" t="s">
        <v>119</v>
      </c>
      <c r="B47" s="426"/>
      <c r="C47" s="642">
        <f>'C2C'!C235</f>
        <v>0</v>
      </c>
      <c r="D47" s="670">
        <f>'C2C'!D235</f>
        <v>129784404.92762612</v>
      </c>
      <c r="E47" s="408">
        <f>'C2C'!E235</f>
        <v>0</v>
      </c>
      <c r="F47" s="408">
        <f>'C2C'!F235</f>
        <v>10291602.340000002</v>
      </c>
      <c r="G47" s="408">
        <f>'C2C'!G235</f>
        <v>25890559.939999998</v>
      </c>
      <c r="H47" s="408">
        <f>'C2C'!H235</f>
        <v>32446101.23190653</v>
      </c>
      <c r="I47" s="47">
        <f t="shared" si="10"/>
        <v>-6555541.2919065319</v>
      </c>
      <c r="J47" s="200">
        <f t="shared" si="11"/>
        <v>-0.20204403743461197</v>
      </c>
      <c r="K47" s="642">
        <f>'C2C'!K235</f>
        <v>129784404.92762612</v>
      </c>
      <c r="L47" s="100"/>
      <c r="Q47" s="70"/>
    </row>
    <row r="48" spans="1:17" ht="12.75" customHeight="1" x14ac:dyDescent="0.2">
      <c r="A48" s="414" t="s">
        <v>718</v>
      </c>
      <c r="B48" s="426"/>
      <c r="C48" s="641">
        <f>'C2C'!C240</f>
        <v>0</v>
      </c>
      <c r="D48" s="669">
        <f>'C2C'!D240</f>
        <v>81300979.882271051</v>
      </c>
      <c r="E48" s="637">
        <f>'C2C'!E240</f>
        <v>0</v>
      </c>
      <c r="F48" s="637">
        <f>'C2C'!F240</f>
        <v>6759048.2000000002</v>
      </c>
      <c r="G48" s="637">
        <f>'C2C'!G240</f>
        <v>13974847.340000002</v>
      </c>
      <c r="H48" s="637">
        <f>'C2C'!H240</f>
        <v>20325244.970567763</v>
      </c>
      <c r="I48" s="102">
        <f t="shared" si="10"/>
        <v>-6350397.6305677611</v>
      </c>
      <c r="J48" s="713">
        <f t="shared" si="11"/>
        <v>-0.31243892212682001</v>
      </c>
      <c r="K48" s="641">
        <f>'C2C'!K240</f>
        <v>81300979.882271051</v>
      </c>
      <c r="L48" s="100"/>
      <c r="Q48" s="70"/>
    </row>
    <row r="49" spans="1:17" ht="12.75" customHeight="1" x14ac:dyDescent="0.2">
      <c r="A49" s="92" t="s">
        <v>1209</v>
      </c>
      <c r="B49" s="422">
        <v>3</v>
      </c>
      <c r="C49" s="600">
        <f>C29+C33+C39+C43+C48</f>
        <v>0</v>
      </c>
      <c r="D49" s="598">
        <f t="shared" ref="D49:I49" si="15">D29+D33+D39+D43+D48</f>
        <v>5516853313.5446301</v>
      </c>
      <c r="E49" s="545">
        <f t="shared" si="15"/>
        <v>0</v>
      </c>
      <c r="F49" s="545">
        <f t="shared" si="15"/>
        <v>738677409.71000004</v>
      </c>
      <c r="G49" s="545">
        <f t="shared" si="15"/>
        <v>1458301309.0999999</v>
      </c>
      <c r="H49" s="545">
        <f t="shared" si="15"/>
        <v>1379213328.3861575</v>
      </c>
      <c r="I49" s="545">
        <f t="shared" si="15"/>
        <v>79087980.713842332</v>
      </c>
      <c r="J49" s="599">
        <f t="shared" si="11"/>
        <v>5.7342819334833872E-2</v>
      </c>
      <c r="K49" s="720">
        <f>K29+K33+K39+K43+K48</f>
        <v>5516853313.5446301</v>
      </c>
      <c r="L49" s="100"/>
      <c r="Q49" s="75"/>
    </row>
    <row r="50" spans="1:17" ht="12.75" customHeight="1" x14ac:dyDescent="0.2">
      <c r="A50" s="94" t="s">
        <v>893</v>
      </c>
      <c r="B50" s="429"/>
      <c r="C50" s="540">
        <f t="shared" ref="C50:H50" si="16">C26-C49</f>
        <v>0</v>
      </c>
      <c r="D50" s="640">
        <f t="shared" si="16"/>
        <v>927224369.32743168</v>
      </c>
      <c r="E50" s="634">
        <f t="shared" si="16"/>
        <v>0</v>
      </c>
      <c r="F50" s="634">
        <f t="shared" si="16"/>
        <v>-265252073.86000013</v>
      </c>
      <c r="G50" s="634">
        <f t="shared" si="16"/>
        <v>145341528.27000022</v>
      </c>
      <c r="H50" s="634">
        <f t="shared" si="16"/>
        <v>231806092.33185792</v>
      </c>
      <c r="I50" s="634">
        <f>I26-I49</f>
        <v>-86464564.061857879</v>
      </c>
      <c r="J50" s="638">
        <f>IF(I50=0,"",I50/H50)</f>
        <v>-0.37300384641346529</v>
      </c>
      <c r="K50" s="639">
        <f>K26-K49</f>
        <v>927224369.32743168</v>
      </c>
      <c r="L50" s="100"/>
    </row>
    <row r="51" spans="1:17" ht="11.25" customHeight="1" x14ac:dyDescent="0.2">
      <c r="A51" s="78" t="str">
        <f>head27a</f>
        <v>References</v>
      </c>
      <c r="B51" s="64"/>
      <c r="C51" s="79"/>
      <c r="D51" s="79"/>
      <c r="E51" s="79"/>
      <c r="F51" s="79"/>
      <c r="G51" s="79"/>
      <c r="H51" s="79"/>
      <c r="I51" s="79"/>
      <c r="J51" s="79"/>
      <c r="K51" s="79"/>
    </row>
    <row r="52" spans="1:17" ht="11.25" customHeight="1" x14ac:dyDescent="0.2">
      <c r="A52" s="584" t="s">
        <v>139</v>
      </c>
      <c r="B52" s="64"/>
      <c r="C52" s="79"/>
      <c r="D52" s="79"/>
      <c r="E52" s="79"/>
      <c r="F52" s="79"/>
      <c r="G52" s="79"/>
      <c r="H52" s="79"/>
      <c r="I52" s="79"/>
      <c r="J52" s="79"/>
      <c r="K52" s="79"/>
    </row>
    <row r="53" spans="1:17" ht="11.25" customHeight="1" x14ac:dyDescent="0.2">
      <c r="A53" s="60" t="s">
        <v>1210</v>
      </c>
      <c r="B53" s="64"/>
      <c r="C53" s="79"/>
      <c r="D53" s="79"/>
      <c r="E53" s="79"/>
      <c r="F53" s="79"/>
      <c r="G53" s="79"/>
      <c r="H53" s="79"/>
      <c r="I53" s="79"/>
      <c r="J53" s="79"/>
      <c r="K53" s="79"/>
    </row>
    <row r="54" spans="1:17" ht="11.25" customHeight="1" x14ac:dyDescent="0.2">
      <c r="A54" s="80" t="s">
        <v>1211</v>
      </c>
      <c r="B54" s="64"/>
      <c r="C54" s="79"/>
      <c r="D54" s="79"/>
      <c r="E54" s="79"/>
      <c r="F54" s="79"/>
      <c r="G54" s="79"/>
      <c r="H54" s="79"/>
      <c r="I54" s="79"/>
      <c r="J54" s="79"/>
      <c r="K54" s="79"/>
    </row>
    <row r="55" spans="1:17" ht="27.75" customHeight="1" x14ac:dyDescent="0.2">
      <c r="A55" s="1045" t="s">
        <v>1212</v>
      </c>
      <c r="B55" s="1045"/>
      <c r="C55" s="1045"/>
      <c r="D55" s="1045"/>
      <c r="E55" s="1045"/>
      <c r="F55" s="1045"/>
      <c r="G55" s="1045"/>
      <c r="H55" s="1045"/>
      <c r="I55" s="1045"/>
      <c r="J55" s="1045"/>
      <c r="K55" s="1045"/>
    </row>
    <row r="56" spans="1:17" ht="11.25" customHeight="1" x14ac:dyDescent="0.2">
      <c r="A56" s="80"/>
      <c r="B56" s="80"/>
      <c r="C56" s="80"/>
      <c r="D56" s="80"/>
      <c r="E56" s="80"/>
      <c r="F56" s="80"/>
      <c r="G56" s="80"/>
      <c r="H56" s="80"/>
      <c r="I56" s="80"/>
      <c r="J56" s="80"/>
      <c r="K56" s="80"/>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65"/>
      <c r="B59" s="64"/>
      <c r="C59" s="628"/>
      <c r="D59" s="628"/>
      <c r="E59" s="628"/>
      <c r="F59" s="628"/>
      <c r="G59" s="628"/>
      <c r="H59" s="628"/>
      <c r="I59" s="628"/>
      <c r="J59" s="628"/>
      <c r="K59" s="628"/>
    </row>
    <row r="60" spans="1:17" ht="11.25" customHeight="1" x14ac:dyDescent="0.2">
      <c r="A60" s="65"/>
      <c r="B60" s="64"/>
      <c r="C60" s="628"/>
      <c r="D60" s="628"/>
      <c r="E60" s="628"/>
      <c r="F60" s="628"/>
      <c r="G60" s="628"/>
      <c r="H60" s="628"/>
      <c r="I60" s="628"/>
      <c r="J60" s="628"/>
      <c r="K60" s="62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39" activePane="bottomRight" state="frozen"/>
      <selection pane="topRight"/>
      <selection pane="bottomLeft"/>
      <selection pane="bottomRight" activeCell="K269" sqref="K269"/>
    </sheetView>
  </sheetViews>
  <sheetFormatPr defaultColWidth="9.109375" defaultRowHeight="13.2" x14ac:dyDescent="0.25"/>
  <cols>
    <col min="1" max="1" width="38.88671875" style="25" customWidth="1"/>
    <col min="2" max="2" width="3" style="68" customWidth="1"/>
    <col min="3" max="8" width="9.33203125" style="25" customWidth="1"/>
    <col min="9" max="10" width="9.33203125" style="100" customWidth="1"/>
    <col min="11" max="11" width="9.33203125" style="25" customWidth="1"/>
    <col min="12" max="12" width="9.5546875" style="25" customWidth="1"/>
    <col min="13" max="16384" width="9.109375" style="686"/>
  </cols>
  <sheetData>
    <row r="1" spans="1:12" ht="13.8" x14ac:dyDescent="0.3">
      <c r="A1" s="1044" t="str">
        <f>muni&amp; " - "&amp;S71A&amp; " - "&amp;date</f>
        <v>KZN225 Msunduzi - Table C2 Consolidated Monthly Budget Statement - Financial Performance (functional classification)  - Q1 First Quarter</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0.399999999999999"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0</v>
      </c>
      <c r="F6" s="605">
        <f t="shared" si="0"/>
        <v>112993185.97</v>
      </c>
      <c r="G6" s="605">
        <f t="shared" si="0"/>
        <v>466667837.44000006</v>
      </c>
      <c r="H6" s="605">
        <f t="shared" si="0"/>
        <v>393084625.57937896</v>
      </c>
      <c r="I6" s="632">
        <f>G6-H6</f>
        <v>73583211.860621095</v>
      </c>
      <c r="J6" s="633">
        <f>IF(I6=0,"",I6/H6)</f>
        <v>0.18719432679964179</v>
      </c>
      <c r="K6" s="606">
        <f>K7+K10+K24</f>
        <v>1572338502.3175159</v>
      </c>
      <c r="L6" s="100"/>
    </row>
    <row r="7" spans="1:12" x14ac:dyDescent="0.25">
      <c r="A7" s="607" t="s">
        <v>108</v>
      </c>
      <c r="B7" s="415"/>
      <c r="C7" s="608">
        <f>SUM(C8:C9)</f>
        <v>0</v>
      </c>
      <c r="D7" s="608">
        <f t="shared" ref="D7:K7" si="1">SUM(D8:D9)</f>
        <v>4447530.0133999996</v>
      </c>
      <c r="E7" s="608">
        <f t="shared" si="1"/>
        <v>0</v>
      </c>
      <c r="F7" s="608">
        <f t="shared" si="1"/>
        <v>0</v>
      </c>
      <c r="G7" s="608">
        <f t="shared" si="1"/>
        <v>0</v>
      </c>
      <c r="H7" s="608">
        <f t="shared" si="1"/>
        <v>1111882.5033499999</v>
      </c>
      <c r="I7" s="608">
        <f t="shared" ref="I7:I123" si="2">G7-H7</f>
        <v>-1111882.5033499999</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0.399999999999999" x14ac:dyDescent="0.25">
      <c r="A9" s="695" t="s">
        <v>1122</v>
      </c>
      <c r="B9" s="415"/>
      <c r="C9" s="733"/>
      <c r="D9" s="733">
        <v>4447530.0133999996</v>
      </c>
      <c r="E9" s="733"/>
      <c r="F9" s="733"/>
      <c r="G9" s="733"/>
      <c r="H9" s="733">
        <f>D9/12*3</f>
        <v>1111882.5033499999</v>
      </c>
      <c r="I9" s="408">
        <f t="shared" si="2"/>
        <v>-1111882.5033499999</v>
      </c>
      <c r="J9" s="408">
        <f t="shared" si="3"/>
        <v>-1</v>
      </c>
      <c r="K9" s="735">
        <f>D9</f>
        <v>4447530.0133999996</v>
      </c>
      <c r="L9" s="100"/>
    </row>
    <row r="10" spans="1:12" x14ac:dyDescent="0.25">
      <c r="A10" s="607" t="s">
        <v>1123</v>
      </c>
      <c r="B10" s="415"/>
      <c r="C10" s="608">
        <f t="shared" ref="C10:H10" si="4">SUM(C11:C23)</f>
        <v>0</v>
      </c>
      <c r="D10" s="608">
        <f t="shared" si="4"/>
        <v>1567890972.3041158</v>
      </c>
      <c r="E10" s="608">
        <f t="shared" si="4"/>
        <v>0</v>
      </c>
      <c r="F10" s="608">
        <f t="shared" si="4"/>
        <v>112993185.97</v>
      </c>
      <c r="G10" s="608">
        <f t="shared" si="4"/>
        <v>466667837.44000006</v>
      </c>
      <c r="H10" s="608">
        <f t="shared" si="4"/>
        <v>391972743.07602894</v>
      </c>
      <c r="I10" s="608">
        <f t="shared" ref="I10:I15" si="5">G10-H10</f>
        <v>74695094.363971114</v>
      </c>
      <c r="J10" s="608">
        <f t="shared" ref="J10:J15" si="6">IF(I10=0,"",I10/H10)</f>
        <v>0.19056196045111964</v>
      </c>
      <c r="K10" s="608">
        <f>SUM(K11:K23)</f>
        <v>1567890972.3041158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c r="F13" s="733">
        <v>110598695.28999999</v>
      </c>
      <c r="G13" s="733">
        <v>467895718.47000009</v>
      </c>
      <c r="H13" s="733">
        <f>D13/12*3</f>
        <v>387162947.90440398</v>
      </c>
      <c r="I13" s="408">
        <f t="shared" si="5"/>
        <v>80732770.565596104</v>
      </c>
      <c r="J13" s="408">
        <f t="shared" si="6"/>
        <v>0.20852401037490337</v>
      </c>
      <c r="K13" s="735">
        <f>D13</f>
        <v>1548651791.6176159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c r="F15" s="733">
        <v>1679365.95</v>
      </c>
      <c r="G15" s="733">
        <v>2853354.14</v>
      </c>
      <c r="H15" s="733">
        <f>D15/12*3</f>
        <v>4745014.6602250002</v>
      </c>
      <c r="I15" s="408">
        <f t="shared" si="5"/>
        <v>-1891660.5202250001</v>
      </c>
      <c r="J15" s="408">
        <f t="shared" si="6"/>
        <v>-0.39866273461319524</v>
      </c>
      <c r="K15" s="735">
        <f>D15</f>
        <v>18980058.640900001</v>
      </c>
      <c r="L15" s="100"/>
    </row>
    <row r="16" spans="1:12" x14ac:dyDescent="0.25">
      <c r="A16" s="695" t="s">
        <v>162</v>
      </c>
      <c r="B16" s="415"/>
      <c r="C16" s="733"/>
      <c r="D16" s="733">
        <v>2016.0139999999999</v>
      </c>
      <c r="E16" s="733"/>
      <c r="F16" s="733"/>
      <c r="G16" s="733"/>
      <c r="H16" s="733">
        <f>D16/12*3</f>
        <v>504.00349999999992</v>
      </c>
      <c r="I16" s="408">
        <f t="shared" ref="I16:I23" si="7">G16-H16</f>
        <v>-504.00349999999992</v>
      </c>
      <c r="J16" s="408">
        <f t="shared" ref="J16:J23" si="8">IF(I16=0,"",I16/H16)</f>
        <v>-1</v>
      </c>
      <c r="K16" s="735">
        <f>D16</f>
        <v>2016.0139999999999</v>
      </c>
      <c r="L16" s="100"/>
    </row>
    <row r="17" spans="1:12" x14ac:dyDescent="0.25">
      <c r="A17" s="695" t="s">
        <v>1128</v>
      </c>
      <c r="B17" s="415"/>
      <c r="C17" s="733"/>
      <c r="D17" s="733">
        <v>257106.03159999999</v>
      </c>
      <c r="E17" s="733"/>
      <c r="F17" s="733"/>
      <c r="G17" s="733"/>
      <c r="H17" s="733">
        <f>D17/12*3</f>
        <v>64276.507899999997</v>
      </c>
      <c r="I17" s="408">
        <f t="shared" si="7"/>
        <v>-64276.507899999997</v>
      </c>
      <c r="J17" s="408">
        <f t="shared" si="8"/>
        <v>-1</v>
      </c>
      <c r="K17" s="735">
        <f>D17</f>
        <v>257106.03159999999</v>
      </c>
      <c r="L17" s="100"/>
    </row>
    <row r="18" spans="1:12" ht="20.399999999999999"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696800.89000000013</v>
      </c>
      <c r="G19" s="733">
        <v>-4104953.1899999995</v>
      </c>
      <c r="H19" s="733"/>
      <c r="I19" s="408">
        <f t="shared" si="7"/>
        <v>-4104953.1899999995</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18323.84</v>
      </c>
      <c r="G22" s="733">
        <v>23718.02</v>
      </c>
      <c r="H22" s="733"/>
      <c r="I22" s="408">
        <f t="shared" si="7"/>
        <v>23718.02</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0</v>
      </c>
      <c r="F26" s="605">
        <f t="shared" si="10"/>
        <v>21355184.21999988</v>
      </c>
      <c r="G26" s="605">
        <f t="shared" si="10"/>
        <v>33481570.149999753</v>
      </c>
      <c r="H26" s="605">
        <f t="shared" si="10"/>
        <v>92312763.619303942</v>
      </c>
      <c r="I26" s="605">
        <f t="shared" si="2"/>
        <v>-58831193.469304189</v>
      </c>
      <c r="J26" s="605">
        <f t="shared" si="3"/>
        <v>-0.63730291633259839</v>
      </c>
      <c r="K26" s="606">
        <f t="shared" si="10"/>
        <v>369251054.47721577</v>
      </c>
      <c r="L26" s="100"/>
    </row>
    <row r="27" spans="1:12" x14ac:dyDescent="0.25">
      <c r="A27" s="607" t="s">
        <v>110</v>
      </c>
      <c r="B27" s="415"/>
      <c r="C27" s="611">
        <f t="shared" ref="C27:H27" si="11">SUM(C28:C48)</f>
        <v>0</v>
      </c>
      <c r="D27" s="611">
        <f t="shared" si="11"/>
        <v>26242986.682700001</v>
      </c>
      <c r="E27" s="611">
        <f t="shared" si="11"/>
        <v>0</v>
      </c>
      <c r="F27" s="611">
        <f t="shared" si="11"/>
        <v>6213415.0700000003</v>
      </c>
      <c r="G27" s="611">
        <f t="shared" si="11"/>
        <v>6846368.379999999</v>
      </c>
      <c r="H27" s="611">
        <f t="shared" si="11"/>
        <v>6560746.6706750002</v>
      </c>
      <c r="I27" s="611">
        <f t="shared" si="2"/>
        <v>285621.70932499878</v>
      </c>
      <c r="J27" s="611">
        <f t="shared" si="3"/>
        <v>4.3534939491210789E-2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x14ac:dyDescent="0.25">
      <c r="A31" s="695" t="s">
        <v>1138</v>
      </c>
      <c r="B31" s="415"/>
      <c r="C31" s="733"/>
      <c r="D31" s="733">
        <v>3523188.2817999995</v>
      </c>
      <c r="E31" s="733"/>
      <c r="F31" s="733">
        <v>227864.2</v>
      </c>
      <c r="G31" s="733">
        <v>-651450.3899999999</v>
      </c>
      <c r="H31" s="733">
        <f>D31/12*3</f>
        <v>880797.07044999988</v>
      </c>
      <c r="I31" s="408">
        <f t="shared" si="12"/>
        <v>-1532247.4604499997</v>
      </c>
      <c r="J31" s="408">
        <f t="shared" si="13"/>
        <v>-1.7396146193664941</v>
      </c>
      <c r="K31" s="735">
        <f>D31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c r="F33" s="733">
        <v>1083359.4099999999</v>
      </c>
      <c r="G33" s="733">
        <v>1085109.5799999998</v>
      </c>
      <c r="H33" s="733">
        <f>D33/12*3</f>
        <v>261449.60022499997</v>
      </c>
      <c r="I33" s="408">
        <f t="shared" si="12"/>
        <v>823659.9797749999</v>
      </c>
      <c r="J33" s="408">
        <f t="shared" si="13"/>
        <v>3.1503585358943726</v>
      </c>
      <c r="K33" s="735">
        <f>D33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c r="F41" s="733">
        <v>4902191.46</v>
      </c>
      <c r="G41" s="733">
        <v>6412709.1899999995</v>
      </c>
      <c r="H41" s="733">
        <f>D41/12*3</f>
        <v>2743500</v>
      </c>
      <c r="I41" s="408">
        <f t="shared" si="2"/>
        <v>3669209.1899999995</v>
      </c>
      <c r="J41" s="408">
        <f t="shared" si="3"/>
        <v>1.3374190595954072</v>
      </c>
      <c r="K41" s="735">
        <f>D41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c r="F44" s="733"/>
      <c r="G44" s="733"/>
      <c r="H44" s="733">
        <f>D44/12*3</f>
        <v>2675000</v>
      </c>
      <c r="I44" s="408">
        <f t="shared" si="2"/>
        <v>-2675000</v>
      </c>
      <c r="J44" s="408">
        <f t="shared" si="3"/>
        <v>-1</v>
      </c>
      <c r="K44" s="735">
        <f>D44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0</v>
      </c>
      <c r="F49" s="611">
        <f t="shared" si="16"/>
        <v>-281643.05000000005</v>
      </c>
      <c r="G49" s="611">
        <f t="shared" si="16"/>
        <v>8007.3599999999351</v>
      </c>
      <c r="H49" s="611">
        <f t="shared" si="16"/>
        <v>2750513.6968171075</v>
      </c>
      <c r="I49" s="611">
        <f t="shared" ref="I49:I54" si="17">G49-H49</f>
        <v>-2742506.3368171076</v>
      </c>
      <c r="J49" s="611">
        <f t="shared" ref="J49:J54" si="18">IF(I49=0,"",I49/H49)</f>
        <v>-0.99708877654044548</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c r="F53" s="733">
        <v>-281643.05000000005</v>
      </c>
      <c r="G53" s="733">
        <v>8007.3599999999351</v>
      </c>
      <c r="H53" s="733">
        <f>D53/12*3</f>
        <v>2750513.6968171075</v>
      </c>
      <c r="I53" s="408">
        <f t="shared" si="17"/>
        <v>-2742506.3368171076</v>
      </c>
      <c r="J53" s="408">
        <f t="shared" si="18"/>
        <v>-0.99708877654044548</v>
      </c>
      <c r="K53" s="735">
        <f>D53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0</v>
      </c>
      <c r="F55" s="611">
        <f t="shared" si="19"/>
        <v>102049.74999988318</v>
      </c>
      <c r="G55" s="611">
        <f t="shared" si="19"/>
        <v>375879.27999975206</v>
      </c>
      <c r="H55" s="611">
        <f t="shared" si="19"/>
        <v>942183.86597499996</v>
      </c>
      <c r="I55" s="611">
        <f t="shared" si="2"/>
        <v>-566304.5859752479</v>
      </c>
      <c r="J55" s="611">
        <f t="shared" si="3"/>
        <v>-0.60105527851426221</v>
      </c>
      <c r="K55" s="614">
        <f t="shared" si="19"/>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c r="F60" s="733">
        <v>59328.39</v>
      </c>
      <c r="G60" s="733">
        <v>133565.06999999998</v>
      </c>
      <c r="H60" s="733">
        <f>D60/12*3</f>
        <v>83567.380325000006</v>
      </c>
      <c r="I60" s="408">
        <f t="shared" si="2"/>
        <v>49997.689674999972</v>
      </c>
      <c r="J60" s="408">
        <f t="shared" si="3"/>
        <v>0.59829193496978239</v>
      </c>
      <c r="K60" s="735">
        <f>D60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x14ac:dyDescent="0.25">
      <c r="A62" s="695" t="s">
        <v>1181</v>
      </c>
      <c r="B62" s="415"/>
      <c r="C62" s="733"/>
      <c r="D62" s="733">
        <v>3434465.9425999997</v>
      </c>
      <c r="E62" s="733"/>
      <c r="F62" s="733">
        <v>42721.359999883178</v>
      </c>
      <c r="G62" s="733">
        <v>242314.20999975206</v>
      </c>
      <c r="H62" s="733">
        <f>D62/12*3</f>
        <v>858616.48564999993</v>
      </c>
      <c r="I62" s="408">
        <f>G62-H62</f>
        <v>-616302.27565024793</v>
      </c>
      <c r="J62" s="408">
        <f>IF(I62=0,"",I62/H62)</f>
        <v>-0.7177852812640646</v>
      </c>
      <c r="K62" s="735">
        <f>D62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0</v>
      </c>
      <c r="F64" s="611">
        <f t="shared" si="20"/>
        <v>15321362.449999997</v>
      </c>
      <c r="G64" s="611">
        <f t="shared" si="20"/>
        <v>26251315.129999999</v>
      </c>
      <c r="H64" s="611">
        <f t="shared" si="20"/>
        <v>82059319.38583684</v>
      </c>
      <c r="I64" s="611">
        <f>G64-H64</f>
        <v>-55808004.255836844</v>
      </c>
      <c r="J64" s="611">
        <f>IF(I64=0,"",I64/H64)</f>
        <v>-0.68009343330562788</v>
      </c>
      <c r="K64" s="614">
        <f>SUM(K65:K66)</f>
        <v>328237277.54334736</v>
      </c>
      <c r="L64" s="100"/>
    </row>
    <row r="65" spans="1:12" x14ac:dyDescent="0.25">
      <c r="A65" s="695" t="s">
        <v>711</v>
      </c>
      <c r="B65" s="415"/>
      <c r="C65" s="733"/>
      <c r="D65" s="733">
        <v>328237277.54334736</v>
      </c>
      <c r="E65" s="733"/>
      <c r="F65" s="733">
        <v>15321362.449999997</v>
      </c>
      <c r="G65" s="733">
        <v>26251315.129999999</v>
      </c>
      <c r="H65" s="733">
        <f>D65/12*3</f>
        <v>82059319.38583684</v>
      </c>
      <c r="I65" s="408">
        <f>G65-H65</f>
        <v>-55808004.255836844</v>
      </c>
      <c r="J65" s="408">
        <f>IF(I65=0,"",I65/H65)</f>
        <v>-0.68009343330562788</v>
      </c>
      <c r="K65" s="735">
        <f>D65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20.399999999999999"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0</v>
      </c>
      <c r="F75" s="605">
        <f t="shared" si="22"/>
        <v>18819399.580000002</v>
      </c>
      <c r="G75" s="605">
        <f t="shared" si="22"/>
        <v>28465247.419999998</v>
      </c>
      <c r="H75" s="605">
        <f t="shared" si="22"/>
        <v>26730858.593453798</v>
      </c>
      <c r="I75" s="605">
        <f t="shared" si="2"/>
        <v>1734388.8265461996</v>
      </c>
      <c r="J75" s="605">
        <f t="shared" si="3"/>
        <v>6.4883393867899902E-2</v>
      </c>
      <c r="K75" s="606">
        <f>K76+K87+K92</f>
        <v>106923434.37381519</v>
      </c>
      <c r="L75" s="100"/>
    </row>
    <row r="76" spans="1:12" x14ac:dyDescent="0.25">
      <c r="A76" s="607" t="s">
        <v>114</v>
      </c>
      <c r="B76" s="417"/>
      <c r="C76" s="611">
        <f t="shared" ref="C76:H76" si="23">SUM(C77:C86)</f>
        <v>0</v>
      </c>
      <c r="D76" s="611">
        <f t="shared" si="23"/>
        <v>41022287.158399999</v>
      </c>
      <c r="E76" s="611">
        <f t="shared" si="23"/>
        <v>0</v>
      </c>
      <c r="F76" s="611">
        <f t="shared" si="23"/>
        <v>56447.05</v>
      </c>
      <c r="G76" s="611">
        <f t="shared" si="23"/>
        <v>-755923.01</v>
      </c>
      <c r="H76" s="611">
        <f t="shared" si="23"/>
        <v>10255571.7896</v>
      </c>
      <c r="I76" s="611">
        <f t="shared" si="2"/>
        <v>-11011494.7996</v>
      </c>
      <c r="J76" s="611">
        <f t="shared" si="3"/>
        <v>-1.0737085191843294</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0.399999999999999" x14ac:dyDescent="0.25">
      <c r="A83" s="695" t="s">
        <v>1177</v>
      </c>
      <c r="B83" s="417"/>
      <c r="C83" s="733"/>
      <c r="D83" s="733">
        <v>41022287.158399999</v>
      </c>
      <c r="E83" s="733"/>
      <c r="F83" s="733">
        <v>56447.05</v>
      </c>
      <c r="G83" s="733">
        <v>-755923.01</v>
      </c>
      <c r="H83" s="733">
        <f>D83/12*3</f>
        <v>10255571.7896</v>
      </c>
      <c r="I83" s="408">
        <f>G83-H83</f>
        <v>-11011494.7996</v>
      </c>
      <c r="J83" s="408">
        <f>IF(I83=0,"",I83/H83)</f>
        <v>-1.0737085191843294</v>
      </c>
      <c r="K83" s="735">
        <f>D83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0</v>
      </c>
      <c r="F87" s="611">
        <f t="shared" si="24"/>
        <v>18762952.530000001</v>
      </c>
      <c r="G87" s="611">
        <f t="shared" si="24"/>
        <v>29212670.43</v>
      </c>
      <c r="H87" s="611">
        <f t="shared" si="24"/>
        <v>16448199.9388288</v>
      </c>
      <c r="I87" s="611">
        <f t="shared" si="2"/>
        <v>12764470.4911712</v>
      </c>
      <c r="J87" s="611">
        <f t="shared" si="3"/>
        <v>0.77604057213813871</v>
      </c>
      <c r="K87" s="614">
        <f>SUM(K88:K91)</f>
        <v>65792799.755315199</v>
      </c>
      <c r="L87" s="100"/>
    </row>
    <row r="88" spans="1:12" x14ac:dyDescent="0.25">
      <c r="A88" s="695" t="s">
        <v>1183</v>
      </c>
      <c r="B88" s="417"/>
      <c r="C88" s="733"/>
      <c r="D88" s="733">
        <v>65792799.755315199</v>
      </c>
      <c r="E88" s="733"/>
      <c r="F88" s="733">
        <v>13949849.810000001</v>
      </c>
      <c r="G88" s="733">
        <v>14657059.74</v>
      </c>
      <c r="H88" s="733">
        <f>D88/12*3</f>
        <v>16448199.9388288</v>
      </c>
      <c r="I88" s="408">
        <f t="shared" si="2"/>
        <v>-1791140.1988287997</v>
      </c>
      <c r="J88" s="408">
        <f t="shared" si="3"/>
        <v>-0.10889581872120278</v>
      </c>
      <c r="K88" s="735">
        <f>D88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4813102.72</v>
      </c>
      <c r="G90" s="733">
        <v>14555610.690000001</v>
      </c>
      <c r="H90" s="733"/>
      <c r="I90" s="408">
        <f t="shared" si="2"/>
        <v>14555610.690000001</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0</v>
      </c>
      <c r="F92" s="611">
        <f t="shared" si="25"/>
        <v>0</v>
      </c>
      <c r="G92" s="611">
        <f t="shared" si="25"/>
        <v>8500</v>
      </c>
      <c r="H92" s="611">
        <f t="shared" si="25"/>
        <v>27086.865024999999</v>
      </c>
      <c r="I92" s="611">
        <f t="shared" si="2"/>
        <v>-18586.865024999999</v>
      </c>
      <c r="J92" s="611">
        <f t="shared" si="3"/>
        <v>-0.68619476664594192</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c r="F97" s="733">
        <v>0</v>
      </c>
      <c r="G97" s="733">
        <v>8500</v>
      </c>
      <c r="H97" s="733">
        <f>D97/12*3</f>
        <v>27086.865024999999</v>
      </c>
      <c r="I97" s="408">
        <f t="shared" si="2"/>
        <v>-18586.865024999999</v>
      </c>
      <c r="J97" s="408">
        <f t="shared" si="3"/>
        <v>-0.68619476664594192</v>
      </c>
      <c r="K97" s="735">
        <f>D97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0</v>
      </c>
      <c r="F99" s="605">
        <f t="shared" si="26"/>
        <v>316113623.11000001</v>
      </c>
      <c r="G99" s="605">
        <f t="shared" si="26"/>
        <v>1068347202.6900003</v>
      </c>
      <c r="H99" s="605">
        <f t="shared" si="26"/>
        <v>1082988447.7543788</v>
      </c>
      <c r="I99" s="605">
        <f t="shared" si="26"/>
        <v>-14641245.064378649</v>
      </c>
      <c r="J99" s="605">
        <f t="shared" si="3"/>
        <v>-1.3519299393024806E-2</v>
      </c>
      <c r="K99" s="606">
        <f>K100+K104+K108+K113</f>
        <v>4331953791.0175152</v>
      </c>
      <c r="L99" s="100"/>
    </row>
    <row r="100" spans="1:12" x14ac:dyDescent="0.25">
      <c r="A100" s="607" t="s">
        <v>1191</v>
      </c>
      <c r="B100" s="417"/>
      <c r="C100" s="611">
        <f>SUM(C101:C103)</f>
        <v>0</v>
      </c>
      <c r="D100" s="611">
        <f t="shared" ref="D100:K100" si="27">SUM(D101:D103)</f>
        <v>2655002808.9206858</v>
      </c>
      <c r="E100" s="611">
        <f t="shared" si="27"/>
        <v>0</v>
      </c>
      <c r="F100" s="611">
        <f t="shared" si="27"/>
        <v>205806260.23000002</v>
      </c>
      <c r="G100" s="611">
        <f t="shared" si="27"/>
        <v>645138249.0200001</v>
      </c>
      <c r="H100" s="611">
        <f t="shared" si="27"/>
        <v>663750702.23017144</v>
      </c>
      <c r="I100" s="611">
        <f t="shared" si="2"/>
        <v>-18612453.210171342</v>
      </c>
      <c r="J100" s="611">
        <f t="shared" si="3"/>
        <v>-2.8041331101623494E-2</v>
      </c>
      <c r="K100" s="614">
        <f t="shared" si="27"/>
        <v>2655002808.9206858</v>
      </c>
      <c r="L100" s="100"/>
    </row>
    <row r="101" spans="1:12" x14ac:dyDescent="0.25">
      <c r="A101" s="695" t="s">
        <v>1192</v>
      </c>
      <c r="B101" s="417"/>
      <c r="C101" s="733"/>
      <c r="D101" s="733">
        <v>2635365105.6563859</v>
      </c>
      <c r="E101" s="733"/>
      <c r="F101" s="733">
        <v>205806260.23000002</v>
      </c>
      <c r="G101" s="733">
        <v>645138249.0200001</v>
      </c>
      <c r="H101" s="733">
        <f t="shared" ref="H101:H102" si="28">D101/12*3</f>
        <v>658841276.41409647</v>
      </c>
      <c r="I101" s="408">
        <f t="shared" si="2"/>
        <v>-13703027.394096375</v>
      </c>
      <c r="J101" s="408">
        <f t="shared" si="3"/>
        <v>-2.0798677746297903E-2</v>
      </c>
      <c r="K101" s="735">
        <f>D101</f>
        <v>2635365105.6563859</v>
      </c>
      <c r="L101" s="100"/>
    </row>
    <row r="102" spans="1:12" x14ac:dyDescent="0.25">
      <c r="A102" s="695" t="s">
        <v>1193</v>
      </c>
      <c r="B102" s="417"/>
      <c r="C102" s="733"/>
      <c r="D102" s="733">
        <v>19637703.2643</v>
      </c>
      <c r="E102" s="733"/>
      <c r="F102" s="733"/>
      <c r="G102" s="733"/>
      <c r="H102" s="733">
        <f t="shared" si="28"/>
        <v>4909425.816075</v>
      </c>
      <c r="I102" s="408">
        <f>G102-H102</f>
        <v>-4909425.816075</v>
      </c>
      <c r="J102" s="408">
        <f>IF(I102=0,"",I102/H102)</f>
        <v>-1</v>
      </c>
      <c r="K102" s="735">
        <f>D102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0</v>
      </c>
      <c r="F104" s="611">
        <f t="shared" si="29"/>
        <v>80647178.88000001</v>
      </c>
      <c r="G104" s="611">
        <f t="shared" si="29"/>
        <v>314621533.77000004</v>
      </c>
      <c r="H104" s="611">
        <f t="shared" si="29"/>
        <v>313387498.50029218</v>
      </c>
      <c r="I104" s="611">
        <f t="shared" si="2"/>
        <v>1234035.2697078586</v>
      </c>
      <c r="J104" s="611">
        <f t="shared" si="3"/>
        <v>3.9377297295307015E-3</v>
      </c>
      <c r="K104" s="614">
        <f t="shared" si="29"/>
        <v>1253549994.0011687</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c r="F106" s="733">
        <v>80647178.88000001</v>
      </c>
      <c r="G106" s="733">
        <v>314621533.77000004</v>
      </c>
      <c r="H106" s="733">
        <f>D106/12*3</f>
        <v>313387498.50029218</v>
      </c>
      <c r="I106" s="408">
        <f>G106-H106</f>
        <v>1234035.2697078586</v>
      </c>
      <c r="J106" s="408">
        <f>IF(I106=0,"",I106/H106)</f>
        <v>3.9377297295307015E-3</v>
      </c>
      <c r="K106" s="735">
        <f>D106</f>
        <v>1253549994.0011687</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0</v>
      </c>
      <c r="F108" s="611">
        <f t="shared" si="30"/>
        <v>20244447.729999997</v>
      </c>
      <c r="G108" s="611">
        <f t="shared" si="30"/>
        <v>69538919.439999998</v>
      </c>
      <c r="H108" s="611">
        <f t="shared" si="30"/>
        <v>43385554.975455821</v>
      </c>
      <c r="I108" s="611">
        <f t="shared" si="2"/>
        <v>26153364.464544177</v>
      </c>
      <c r="J108" s="611">
        <f t="shared" si="3"/>
        <v>0.60281272140784459</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c r="F110" s="733">
        <v>20244447.729999997</v>
      </c>
      <c r="G110" s="733">
        <v>69538919.439999998</v>
      </c>
      <c r="H110" s="733">
        <f>D110/12*3</f>
        <v>43385554.975455821</v>
      </c>
      <c r="I110" s="408">
        <f t="shared" si="2"/>
        <v>26153364.464544177</v>
      </c>
      <c r="J110" s="408">
        <f t="shared" si="3"/>
        <v>0.60281272140784459</v>
      </c>
      <c r="K110" s="735">
        <f>D110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0</v>
      </c>
      <c r="F113" s="611">
        <f t="shared" si="31"/>
        <v>9415736.2699999996</v>
      </c>
      <c r="G113" s="611">
        <f t="shared" si="31"/>
        <v>39048500.460000008</v>
      </c>
      <c r="H113" s="611">
        <f t="shared" si="31"/>
        <v>62464692.048459351</v>
      </c>
      <c r="I113" s="611">
        <f t="shared" si="2"/>
        <v>-23416191.588459343</v>
      </c>
      <c r="J113" s="611">
        <f t="shared" si="3"/>
        <v>-0.37487084015868266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c r="F115" s="733">
        <v>288971.08</v>
      </c>
      <c r="G115" s="733">
        <v>11479352.68</v>
      </c>
      <c r="H115" s="733">
        <f>D115/12*3</f>
        <v>62464692.048459351</v>
      </c>
      <c r="I115" s="408">
        <f>G115-H115</f>
        <v>-50985339.368459351</v>
      </c>
      <c r="J115" s="408">
        <f>IF(I115=0,"",I115/H115)</f>
        <v>-0.81622653848842386</v>
      </c>
      <c r="K115" s="735">
        <f>D115</f>
        <v>249858768.1938374</v>
      </c>
      <c r="L115" s="100"/>
    </row>
    <row r="116" spans="1:12" x14ac:dyDescent="0.25">
      <c r="A116" s="695" t="s">
        <v>1200</v>
      </c>
      <c r="B116" s="417"/>
      <c r="C116" s="733"/>
      <c r="D116" s="733"/>
      <c r="E116" s="733"/>
      <c r="F116" s="733">
        <v>9126765.1899999995</v>
      </c>
      <c r="G116" s="733">
        <v>27569147.780000005</v>
      </c>
      <c r="H116" s="733"/>
      <c r="I116" s="408">
        <f t="shared" si="2"/>
        <v>27569147.780000005</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0</v>
      </c>
      <c r="F118" s="611">
        <f t="shared" si="32"/>
        <v>4143942.9699999993</v>
      </c>
      <c r="G118" s="611">
        <f t="shared" si="32"/>
        <v>6680979.669999999</v>
      </c>
      <c r="H118" s="611">
        <f t="shared" si="32"/>
        <v>15902725.171500001</v>
      </c>
      <c r="I118" s="611">
        <f t="shared" si="2"/>
        <v>-9221745.501500003</v>
      </c>
      <c r="J118" s="611">
        <f t="shared" si="3"/>
        <v>-0.57988460481142656</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c r="F120" s="733">
        <v>19669.650000000001</v>
      </c>
      <c r="G120" s="733">
        <v>431498.85000000003</v>
      </c>
      <c r="H120" s="733">
        <f t="shared" ref="H120:H121" si="33">D120/12*3</f>
        <v>3122679.8987250002</v>
      </c>
      <c r="I120" s="408">
        <f t="shared" si="2"/>
        <v>-2691181.0487250001</v>
      </c>
      <c r="J120" s="408">
        <f t="shared" si="3"/>
        <v>-0.86181777703946461</v>
      </c>
      <c r="K120" s="735">
        <f>D120</f>
        <v>12490719.594900001</v>
      </c>
      <c r="L120" s="100"/>
    </row>
    <row r="121" spans="1:12" x14ac:dyDescent="0.25">
      <c r="A121" s="607" t="s">
        <v>1202</v>
      </c>
      <c r="B121" s="417"/>
      <c r="C121" s="733"/>
      <c r="D121" s="733">
        <v>7663197.0931999991</v>
      </c>
      <c r="E121" s="733"/>
      <c r="F121" s="733">
        <v>300000</v>
      </c>
      <c r="G121" s="733">
        <v>700000</v>
      </c>
      <c r="H121" s="733">
        <f t="shared" si="33"/>
        <v>1915799.2732999998</v>
      </c>
      <c r="I121" s="408">
        <f>G121-H121</f>
        <v>-1215799.2732999998</v>
      </c>
      <c r="J121" s="408">
        <f>IF(I121=0,"",I121/H121)</f>
        <v>-0.6346172536153869</v>
      </c>
      <c r="K121" s="735">
        <f>D121</f>
        <v>7663197.0931999991</v>
      </c>
      <c r="L121" s="100"/>
    </row>
    <row r="122" spans="1:12" x14ac:dyDescent="0.25">
      <c r="A122" s="607" t="s">
        <v>1203</v>
      </c>
      <c r="B122" s="417"/>
      <c r="C122" s="733"/>
      <c r="D122" s="733"/>
      <c r="E122" s="733"/>
      <c r="F122" s="733">
        <v>12398.42</v>
      </c>
      <c r="G122" s="733">
        <v>29005.360000000001</v>
      </c>
      <c r="H122" s="733"/>
      <c r="I122" s="408">
        <f t="shared" si="2"/>
        <v>29005.360000000001</v>
      </c>
      <c r="J122" s="408" t="e">
        <f t="shared" si="3"/>
        <v>#DIV/0!</v>
      </c>
      <c r="K122" s="735"/>
      <c r="L122" s="100"/>
    </row>
    <row r="123" spans="1:12" x14ac:dyDescent="0.25">
      <c r="A123" s="607" t="s">
        <v>441</v>
      </c>
      <c r="B123" s="415"/>
      <c r="C123" s="733"/>
      <c r="D123" s="733">
        <v>43456983.997900009</v>
      </c>
      <c r="E123" s="733"/>
      <c r="F123" s="733">
        <v>3811874.8999999994</v>
      </c>
      <c r="G123" s="733">
        <v>5520475.459999999</v>
      </c>
      <c r="H123" s="733">
        <f>D123/12*3</f>
        <v>10864245.999475002</v>
      </c>
      <c r="I123" s="408">
        <f t="shared" si="2"/>
        <v>-5343770.5394750033</v>
      </c>
      <c r="J123" s="408">
        <f t="shared" si="3"/>
        <v>-0.49186759391615698</v>
      </c>
      <c r="K123" s="735">
        <f>D123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4">C6+C26+C75+C99+C118</f>
        <v>0</v>
      </c>
      <c r="D125" s="616">
        <f t="shared" si="34"/>
        <v>6444077682.8720617</v>
      </c>
      <c r="E125" s="616">
        <f t="shared" si="34"/>
        <v>0</v>
      </c>
      <c r="F125" s="616">
        <f t="shared" si="34"/>
        <v>473425335.8499999</v>
      </c>
      <c r="G125" s="616">
        <f t="shared" si="34"/>
        <v>1603642837.3700001</v>
      </c>
      <c r="H125" s="616">
        <f t="shared" si="34"/>
        <v>1611019420.7180154</v>
      </c>
      <c r="I125" s="616">
        <f>G125-H125</f>
        <v>-7376583.3480153084</v>
      </c>
      <c r="J125" s="616">
        <f>IF(I125=0,"",I125/H125)</f>
        <v>-4.5788295616744574E-3</v>
      </c>
      <c r="K125" s="617">
        <f>K6+K26+K75+K99+K118</f>
        <v>6444077682.8720617</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5">A6</f>
        <v>Municipal governance and administration</v>
      </c>
      <c r="B128" s="620"/>
      <c r="C128" s="605">
        <f t="shared" ref="C128:H128" si="36">C129+C132+C146</f>
        <v>0</v>
      </c>
      <c r="D128" s="605">
        <f t="shared" si="36"/>
        <v>1354264744.2416518</v>
      </c>
      <c r="E128" s="605">
        <f t="shared" si="36"/>
        <v>0</v>
      </c>
      <c r="F128" s="605">
        <f t="shared" si="36"/>
        <v>73870506.219999999</v>
      </c>
      <c r="G128" s="605">
        <f t="shared" si="36"/>
        <v>190930405.28999999</v>
      </c>
      <c r="H128" s="605">
        <f t="shared" si="36"/>
        <v>338566186.06041294</v>
      </c>
      <c r="I128" s="605">
        <f t="shared" ref="I128:I244" si="37">G128-H128</f>
        <v>-147635780.77041295</v>
      </c>
      <c r="J128" s="605">
        <f t="shared" ref="J128:J244" si="38">IF(I128=0,"",I128/H128)</f>
        <v>-0.43606180076137069</v>
      </c>
      <c r="K128" s="606">
        <f>K129+K132+K146</f>
        <v>1354264744.2416518</v>
      </c>
      <c r="L128" s="100"/>
    </row>
    <row r="129" spans="1:12" x14ac:dyDescent="0.25">
      <c r="A129" s="607" t="str">
        <f t="shared" si="35"/>
        <v>Executive and council</v>
      </c>
      <c r="B129" s="620"/>
      <c r="C129" s="608">
        <f t="shared" ref="C129:K129" si="39">SUM(C130:C131)</f>
        <v>0</v>
      </c>
      <c r="D129" s="608">
        <f t="shared" si="39"/>
        <v>137732466.40184778</v>
      </c>
      <c r="E129" s="608">
        <f t="shared" si="39"/>
        <v>0</v>
      </c>
      <c r="F129" s="608">
        <f t="shared" si="39"/>
        <v>13861312.450000003</v>
      </c>
      <c r="G129" s="608">
        <f t="shared" si="39"/>
        <v>26542364.199999988</v>
      </c>
      <c r="H129" s="608">
        <f t="shared" si="39"/>
        <v>34433116.600461945</v>
      </c>
      <c r="I129" s="608">
        <f t="shared" si="37"/>
        <v>-7890752.4004619569</v>
      </c>
      <c r="J129" s="608">
        <f t="shared" si="38"/>
        <v>-0.22916172509217758</v>
      </c>
      <c r="K129" s="610">
        <f t="shared" si="39"/>
        <v>137732466.40184778</v>
      </c>
      <c r="L129" s="100"/>
    </row>
    <row r="130" spans="1:12" x14ac:dyDescent="0.25">
      <c r="A130" s="695" t="str">
        <f t="shared" si="35"/>
        <v>Mayor and Council</v>
      </c>
      <c r="B130" s="620"/>
      <c r="C130" s="733"/>
      <c r="D130" s="733">
        <v>86039675.165266603</v>
      </c>
      <c r="E130" s="733"/>
      <c r="F130" s="733">
        <v>11627265.640000002</v>
      </c>
      <c r="G130" s="733">
        <v>21589381.429999989</v>
      </c>
      <c r="H130" s="733">
        <f t="shared" ref="H130:H131" si="40">D130/12*3</f>
        <v>21509918.791316651</v>
      </c>
      <c r="I130" s="408">
        <f t="shared" si="37"/>
        <v>79462.638683337718</v>
      </c>
      <c r="J130" s="408">
        <f t="shared" si="38"/>
        <v>3.6942323889858678E-3</v>
      </c>
      <c r="K130" s="735">
        <f t="shared" ref="K130:K144" si="41">D130</f>
        <v>86039675.165266603</v>
      </c>
      <c r="L130" s="100"/>
    </row>
    <row r="131" spans="1:12" ht="18.600000000000001" customHeight="1" x14ac:dyDescent="0.25">
      <c r="A131" s="695" t="str">
        <f t="shared" si="35"/>
        <v>Municipal Manager, Town Secretary and Chief Executive</v>
      </c>
      <c r="B131" s="620"/>
      <c r="C131" s="733"/>
      <c r="D131" s="733">
        <v>51692791.236581177</v>
      </c>
      <c r="E131" s="733"/>
      <c r="F131" s="733">
        <v>2234046.81</v>
      </c>
      <c r="G131" s="733">
        <v>4952982.7699999996</v>
      </c>
      <c r="H131" s="733">
        <f t="shared" si="40"/>
        <v>12923197.809145294</v>
      </c>
      <c r="I131" s="408">
        <f t="shared" si="37"/>
        <v>-7970215.0391452946</v>
      </c>
      <c r="J131" s="408">
        <f t="shared" si="38"/>
        <v>-0.61673706127944994</v>
      </c>
      <c r="K131" s="735">
        <f t="shared" si="41"/>
        <v>51692791.236581177</v>
      </c>
      <c r="L131" s="100"/>
    </row>
    <row r="132" spans="1:12" x14ac:dyDescent="0.25">
      <c r="A132" s="607" t="str">
        <f t="shared" si="35"/>
        <v>Finance and administration</v>
      </c>
      <c r="B132" s="620"/>
      <c r="C132" s="608">
        <f t="shared" ref="C132:H132" si="42">SUM(C133:C145)</f>
        <v>0</v>
      </c>
      <c r="D132" s="608">
        <f t="shared" si="42"/>
        <v>1194545745.0547059</v>
      </c>
      <c r="E132" s="608">
        <f t="shared" si="42"/>
        <v>0</v>
      </c>
      <c r="F132" s="608">
        <f t="shared" si="42"/>
        <v>57947059.899999991</v>
      </c>
      <c r="G132" s="608">
        <f t="shared" si="42"/>
        <v>161277885.75999999</v>
      </c>
      <c r="H132" s="608">
        <f t="shared" si="42"/>
        <v>298636436.26367646</v>
      </c>
      <c r="I132" s="608">
        <f t="shared" si="37"/>
        <v>-137358550.50367647</v>
      </c>
      <c r="J132" s="608">
        <f t="shared" si="38"/>
        <v>-0.45995241646400392</v>
      </c>
      <c r="K132" s="608">
        <f>SUM(K133:K145)</f>
        <v>1194545745.0547059</v>
      </c>
      <c r="L132" s="100"/>
    </row>
    <row r="133" spans="1:12" x14ac:dyDescent="0.25">
      <c r="A133" s="695" t="str">
        <f t="shared" si="35"/>
        <v>Administrative and Corporate Support</v>
      </c>
      <c r="B133" s="415"/>
      <c r="C133" s="733"/>
      <c r="D133" s="733">
        <v>63311187.597137183</v>
      </c>
      <c r="E133" s="733"/>
      <c r="F133" s="733">
        <v>3746955.5699999989</v>
      </c>
      <c r="G133" s="733">
        <v>11393352.51</v>
      </c>
      <c r="H133" s="733">
        <f t="shared" ref="H133:H135" si="43">D133/12*3</f>
        <v>15827796.899284296</v>
      </c>
      <c r="I133" s="408">
        <f t="shared" si="37"/>
        <v>-4434444.389284296</v>
      </c>
      <c r="J133" s="408">
        <f t="shared" si="38"/>
        <v>-0.28016813821289388</v>
      </c>
      <c r="K133" s="735">
        <f t="shared" si="41"/>
        <v>63311187.597137183</v>
      </c>
      <c r="L133" s="100"/>
    </row>
    <row r="134" spans="1:12" x14ac:dyDescent="0.25">
      <c r="A134" s="695" t="str">
        <f t="shared" si="35"/>
        <v>Asset Management</v>
      </c>
      <c r="B134" s="415"/>
      <c r="C134" s="733"/>
      <c r="D134" s="733">
        <v>114851325.40861207</v>
      </c>
      <c r="E134" s="733"/>
      <c r="F134" s="733">
        <v>4427280.4399999995</v>
      </c>
      <c r="G134" s="733">
        <v>12722606.609999998</v>
      </c>
      <c r="H134" s="733">
        <f t="shared" si="43"/>
        <v>28712831.352153018</v>
      </c>
      <c r="I134" s="408">
        <f t="shared" si="37"/>
        <v>-15990224.742153021</v>
      </c>
      <c r="J134" s="408">
        <f t="shared" si="38"/>
        <v>-0.55690170523548876</v>
      </c>
      <c r="K134" s="735">
        <f t="shared" si="41"/>
        <v>114851325.40861207</v>
      </c>
      <c r="L134" s="100"/>
    </row>
    <row r="135" spans="1:12" x14ac:dyDescent="0.25">
      <c r="A135" s="695" t="str">
        <f t="shared" si="35"/>
        <v>Finance</v>
      </c>
      <c r="B135" s="415"/>
      <c r="C135" s="733"/>
      <c r="D135" s="733">
        <v>527291938.10809231</v>
      </c>
      <c r="E135" s="733"/>
      <c r="F135" s="733">
        <v>18363803.91</v>
      </c>
      <c r="G135" s="733">
        <v>45841271.249999978</v>
      </c>
      <c r="H135" s="733">
        <f t="shared" si="43"/>
        <v>131822984.52702308</v>
      </c>
      <c r="I135" s="408">
        <f t="shared" si="37"/>
        <v>-85981713.277023107</v>
      </c>
      <c r="J135" s="408">
        <f t="shared" si="38"/>
        <v>-0.65225130189187353</v>
      </c>
      <c r="K135" s="735">
        <f t="shared" si="41"/>
        <v>527291938.10809231</v>
      </c>
      <c r="L135" s="100"/>
    </row>
    <row r="136" spans="1:12" x14ac:dyDescent="0.25">
      <c r="A136" s="695" t="str">
        <f t="shared" si="35"/>
        <v>Fleet Management</v>
      </c>
      <c r="B136" s="415"/>
      <c r="C136" s="733"/>
      <c r="D136" s="733"/>
      <c r="E136" s="733"/>
      <c r="F136" s="733"/>
      <c r="G136" s="733"/>
      <c r="H136" s="733"/>
      <c r="I136" s="408">
        <f t="shared" si="37"/>
        <v>0</v>
      </c>
      <c r="J136" s="408" t="str">
        <f t="shared" si="38"/>
        <v/>
      </c>
      <c r="K136" s="735"/>
      <c r="L136" s="100"/>
    </row>
    <row r="137" spans="1:12" x14ac:dyDescent="0.25">
      <c r="A137" s="695" t="str">
        <f t="shared" si="35"/>
        <v>Human Resources</v>
      </c>
      <c r="B137" s="415"/>
      <c r="C137" s="733"/>
      <c r="D137" s="733">
        <v>167919296.40275738</v>
      </c>
      <c r="E137" s="733"/>
      <c r="F137" s="733">
        <v>6153488.6199999945</v>
      </c>
      <c r="G137" s="733">
        <v>13816922.750000002</v>
      </c>
      <c r="H137" s="733">
        <f t="shared" ref="H137:H141" si="44">D137/12*3</f>
        <v>41979824.100689344</v>
      </c>
      <c r="I137" s="408">
        <f t="shared" si="37"/>
        <v>-28162901.350689344</v>
      </c>
      <c r="J137" s="408">
        <f t="shared" si="38"/>
        <v>-0.670867540634285</v>
      </c>
      <c r="K137" s="735">
        <f t="shared" si="41"/>
        <v>167919296.40275738</v>
      </c>
      <c r="L137" s="100"/>
    </row>
    <row r="138" spans="1:12" x14ac:dyDescent="0.25">
      <c r="A138" s="695" t="str">
        <f t="shared" si="35"/>
        <v>Information Technology</v>
      </c>
      <c r="B138" s="415"/>
      <c r="C138" s="733"/>
      <c r="D138" s="733">
        <v>36645394.820353068</v>
      </c>
      <c r="E138" s="733"/>
      <c r="F138" s="733">
        <v>1364763.8399999999</v>
      </c>
      <c r="G138" s="733">
        <v>9882948.7699999996</v>
      </c>
      <c r="H138" s="733">
        <f t="shared" si="44"/>
        <v>9161348.7050882671</v>
      </c>
      <c r="I138" s="408">
        <f t="shared" si="37"/>
        <v>721600.06491173245</v>
      </c>
      <c r="J138" s="408">
        <f t="shared" si="38"/>
        <v>7.8765702315309924E-2</v>
      </c>
      <c r="K138" s="735">
        <f t="shared" si="41"/>
        <v>36645394.820353068</v>
      </c>
      <c r="L138" s="100"/>
    </row>
    <row r="139" spans="1:12" x14ac:dyDescent="0.25">
      <c r="A139" s="695" t="str">
        <f t="shared" si="35"/>
        <v>Legal Services</v>
      </c>
      <c r="B139" s="415"/>
      <c r="C139" s="733"/>
      <c r="D139" s="733">
        <v>11011185.169427564</v>
      </c>
      <c r="E139" s="733"/>
      <c r="F139" s="733">
        <v>891920.89</v>
      </c>
      <c r="G139" s="733">
        <v>2409396.5099999998</v>
      </c>
      <c r="H139" s="733">
        <f t="shared" si="44"/>
        <v>2752796.2923568911</v>
      </c>
      <c r="I139" s="408">
        <f t="shared" si="37"/>
        <v>-343399.78235689132</v>
      </c>
      <c r="J139" s="408">
        <f t="shared" si="38"/>
        <v>-0.12474580240838637</v>
      </c>
      <c r="K139" s="735">
        <f t="shared" si="41"/>
        <v>11011185.169427564</v>
      </c>
      <c r="L139" s="100"/>
    </row>
    <row r="140" spans="1:12" ht="20.399999999999999" x14ac:dyDescent="0.25">
      <c r="A140" s="695" t="str">
        <f t="shared" si="35"/>
        <v>Marketing, Customer Relations, Publicity and Media Co-ordination</v>
      </c>
      <c r="B140" s="415"/>
      <c r="C140" s="733"/>
      <c r="D140" s="733">
        <v>20838266.324347999</v>
      </c>
      <c r="E140" s="733"/>
      <c r="F140" s="733">
        <v>1241459.7099999997</v>
      </c>
      <c r="G140" s="733">
        <v>3932682.4000000004</v>
      </c>
      <c r="H140" s="733">
        <f t="shared" si="44"/>
        <v>5209566.5810869997</v>
      </c>
      <c r="I140" s="408">
        <f t="shared" si="37"/>
        <v>-1276884.1810869994</v>
      </c>
      <c r="J140" s="408">
        <f t="shared" si="38"/>
        <v>-0.24510372623370363</v>
      </c>
      <c r="K140" s="735">
        <f t="shared" si="41"/>
        <v>20838266.324347999</v>
      </c>
      <c r="L140" s="100"/>
    </row>
    <row r="141" spans="1:12" x14ac:dyDescent="0.25">
      <c r="A141" s="695" t="str">
        <f t="shared" si="35"/>
        <v>Property Services</v>
      </c>
      <c r="B141" s="415"/>
      <c r="C141" s="733"/>
      <c r="D141" s="733">
        <v>57794332.631016083</v>
      </c>
      <c r="E141" s="733"/>
      <c r="F141" s="733">
        <v>4432006.2600000007</v>
      </c>
      <c r="G141" s="733">
        <v>9404443.9600000028</v>
      </c>
      <c r="H141" s="733">
        <f t="shared" si="44"/>
        <v>14448583.157754023</v>
      </c>
      <c r="I141" s="408">
        <f t="shared" si="37"/>
        <v>-5044139.1977540199</v>
      </c>
      <c r="J141" s="408">
        <f t="shared" si="38"/>
        <v>-0.34910960768129129</v>
      </c>
      <c r="K141" s="735">
        <f t="shared" si="41"/>
        <v>57794332.631016083</v>
      </c>
      <c r="L141" s="100"/>
    </row>
    <row r="142" spans="1:12" x14ac:dyDescent="0.25">
      <c r="A142" s="695" t="str">
        <f t="shared" si="35"/>
        <v>Risk Management</v>
      </c>
      <c r="B142" s="415"/>
      <c r="C142" s="733"/>
      <c r="D142" s="733"/>
      <c r="E142" s="733"/>
      <c r="F142" s="733"/>
      <c r="G142" s="733"/>
      <c r="H142" s="733"/>
      <c r="I142" s="408">
        <f t="shared" si="37"/>
        <v>0</v>
      </c>
      <c r="J142" s="408" t="str">
        <f t="shared" si="38"/>
        <v/>
      </c>
      <c r="K142" s="735"/>
      <c r="L142" s="100"/>
    </row>
    <row r="143" spans="1:12" x14ac:dyDescent="0.25">
      <c r="A143" s="695" t="str">
        <f t="shared" si="35"/>
        <v>Security Services</v>
      </c>
      <c r="B143" s="415"/>
      <c r="C143" s="733"/>
      <c r="D143" s="733">
        <v>131236960.70425577</v>
      </c>
      <c r="E143" s="733"/>
      <c r="F143" s="733">
        <v>14511139.019999996</v>
      </c>
      <c r="G143" s="733">
        <v>44723306.619999997</v>
      </c>
      <c r="H143" s="733">
        <f t="shared" ref="H143:H144" si="45">D143/12*3</f>
        <v>32809240.176063947</v>
      </c>
      <c r="I143" s="408">
        <f t="shared" si="37"/>
        <v>11914066.44393605</v>
      </c>
      <c r="J143" s="408">
        <f t="shared" si="38"/>
        <v>0.36313143431550676</v>
      </c>
      <c r="K143" s="735">
        <f t="shared" si="41"/>
        <v>131236960.70425577</v>
      </c>
      <c r="L143" s="100"/>
    </row>
    <row r="144" spans="1:12" x14ac:dyDescent="0.25">
      <c r="A144" s="695" t="str">
        <f t="shared" si="35"/>
        <v xml:space="preserve">Supply Chain Management </v>
      </c>
      <c r="B144" s="415"/>
      <c r="C144" s="733"/>
      <c r="D144" s="733">
        <v>63645857.888706505</v>
      </c>
      <c r="E144" s="733"/>
      <c r="F144" s="733">
        <v>2814241.64</v>
      </c>
      <c r="G144" s="733">
        <v>7150954.379999999</v>
      </c>
      <c r="H144" s="733">
        <f t="shared" si="45"/>
        <v>15911464.472176626</v>
      </c>
      <c r="I144" s="408">
        <f t="shared" si="37"/>
        <v>-8760510.0921766274</v>
      </c>
      <c r="J144" s="408">
        <f t="shared" si="38"/>
        <v>-0.55057849059057884</v>
      </c>
      <c r="K144" s="735">
        <f t="shared" si="41"/>
        <v>63645857.888706505</v>
      </c>
      <c r="L144" s="100"/>
    </row>
    <row r="145" spans="1:12" x14ac:dyDescent="0.25">
      <c r="A145" s="695" t="str">
        <f t="shared" si="35"/>
        <v>Valuation Service</v>
      </c>
      <c r="B145" s="415"/>
      <c r="C145" s="733"/>
      <c r="D145" s="733"/>
      <c r="E145" s="733"/>
      <c r="F145" s="733"/>
      <c r="G145" s="733"/>
      <c r="H145" s="733"/>
      <c r="I145" s="408">
        <f t="shared" si="37"/>
        <v>0</v>
      </c>
      <c r="J145" s="408" t="str">
        <f t="shared" si="38"/>
        <v/>
      </c>
      <c r="K145" s="735"/>
      <c r="L145" s="100"/>
    </row>
    <row r="146" spans="1:12" x14ac:dyDescent="0.25">
      <c r="A146" s="607" t="str">
        <f t="shared" si="35"/>
        <v>Internal audit</v>
      </c>
      <c r="B146" s="620"/>
      <c r="C146" s="608">
        <f t="shared" ref="C146:H146" si="46">SUM(C147:C147)</f>
        <v>0</v>
      </c>
      <c r="D146" s="608">
        <f t="shared" si="46"/>
        <v>21986532.785097998</v>
      </c>
      <c r="E146" s="608">
        <f t="shared" si="46"/>
        <v>0</v>
      </c>
      <c r="F146" s="608">
        <f t="shared" si="46"/>
        <v>2062133.8699999999</v>
      </c>
      <c r="G146" s="608">
        <f t="shared" si="46"/>
        <v>3110155.330000001</v>
      </c>
      <c r="H146" s="608">
        <f t="shared" si="46"/>
        <v>5496633.1962744994</v>
      </c>
      <c r="I146" s="608">
        <f t="shared" si="37"/>
        <v>-2386477.8662744984</v>
      </c>
      <c r="J146" s="608">
        <f t="shared" si="38"/>
        <v>-0.43417084259724703</v>
      </c>
      <c r="K146" s="610">
        <f>SUM(K147:K147)</f>
        <v>21986532.785097998</v>
      </c>
      <c r="L146" s="100"/>
    </row>
    <row r="147" spans="1:12" x14ac:dyDescent="0.25">
      <c r="A147" s="695" t="str">
        <f t="shared" si="35"/>
        <v>Governance Function</v>
      </c>
      <c r="B147" s="620"/>
      <c r="C147" s="733"/>
      <c r="D147" s="733">
        <v>21986532.785097998</v>
      </c>
      <c r="E147" s="733"/>
      <c r="F147" s="733">
        <v>2062133.8699999999</v>
      </c>
      <c r="G147" s="733">
        <v>3110155.330000001</v>
      </c>
      <c r="H147" s="733">
        <f t="shared" ref="H147" si="47">D147/12*3</f>
        <v>5496633.1962744994</v>
      </c>
      <c r="I147" s="408">
        <f t="shared" si="37"/>
        <v>-2386477.8662744984</v>
      </c>
      <c r="J147" s="408">
        <f t="shared" si="38"/>
        <v>-0.43417084259724703</v>
      </c>
      <c r="K147" s="735">
        <f>D147</f>
        <v>21986532.785097998</v>
      </c>
      <c r="L147" s="100"/>
    </row>
    <row r="148" spans="1:12" x14ac:dyDescent="0.25">
      <c r="A148" s="414" t="str">
        <f t="shared" si="35"/>
        <v>Community and public safety</v>
      </c>
      <c r="B148" s="620"/>
      <c r="C148" s="605">
        <f t="shared" ref="C148:H148" si="48">C149+C171+C177+C186+C189</f>
        <v>0</v>
      </c>
      <c r="D148" s="605">
        <f t="shared" si="48"/>
        <v>440067727.15977156</v>
      </c>
      <c r="E148" s="605">
        <f t="shared" si="48"/>
        <v>0</v>
      </c>
      <c r="F148" s="605">
        <f t="shared" si="48"/>
        <v>40069040.499999985</v>
      </c>
      <c r="G148" s="605">
        <f t="shared" si="48"/>
        <v>110443840.39000016</v>
      </c>
      <c r="H148" s="605">
        <f t="shared" si="48"/>
        <v>110016931.78994291</v>
      </c>
      <c r="I148" s="605">
        <f t="shared" si="37"/>
        <v>426908.6000572592</v>
      </c>
      <c r="J148" s="605">
        <f t="shared" si="38"/>
        <v>3.8803899828106698E-3</v>
      </c>
      <c r="K148" s="606">
        <f>K149+K171+K177+K186+K189</f>
        <v>440067727.15977156</v>
      </c>
      <c r="L148" s="100"/>
    </row>
    <row r="149" spans="1:12" x14ac:dyDescent="0.25">
      <c r="A149" s="607" t="str">
        <f t="shared" si="35"/>
        <v>Community and social services</v>
      </c>
      <c r="B149" s="620"/>
      <c r="C149" s="611">
        <f t="shared" ref="C149:H149" si="49">SUM(C150:C170)</f>
        <v>0</v>
      </c>
      <c r="D149" s="611">
        <f t="shared" si="49"/>
        <v>128373725.79885694</v>
      </c>
      <c r="E149" s="611">
        <f t="shared" si="49"/>
        <v>0</v>
      </c>
      <c r="F149" s="611">
        <f t="shared" si="49"/>
        <v>9265925.7899999972</v>
      </c>
      <c r="G149" s="611">
        <f t="shared" si="49"/>
        <v>24975186.040000003</v>
      </c>
      <c r="H149" s="611">
        <f t="shared" si="49"/>
        <v>32093431.44971424</v>
      </c>
      <c r="I149" s="611">
        <f t="shared" si="37"/>
        <v>-7118245.4097142369</v>
      </c>
      <c r="J149" s="611">
        <f t="shared" si="38"/>
        <v>-0.22179757938528627</v>
      </c>
      <c r="K149" s="614">
        <f>SUM(K150:K170)</f>
        <v>128373725.79885694</v>
      </c>
      <c r="L149" s="100"/>
    </row>
    <row r="150" spans="1:12" x14ac:dyDescent="0.25">
      <c r="A150" s="695" t="str">
        <f t="shared" si="35"/>
        <v>Aged Care</v>
      </c>
      <c r="B150" s="620"/>
      <c r="C150" s="733"/>
      <c r="D150" s="733">
        <v>4431.0612499999997</v>
      </c>
      <c r="E150" s="733"/>
      <c r="F150" s="733">
        <v>43.65</v>
      </c>
      <c r="G150" s="733">
        <v>133.84</v>
      </c>
      <c r="H150" s="733">
        <f t="shared" ref="H150" si="50">D150/12*3</f>
        <v>1107.7653124999999</v>
      </c>
      <c r="I150" s="408">
        <f t="shared" si="37"/>
        <v>-973.9253124999999</v>
      </c>
      <c r="J150" s="408">
        <f t="shared" si="38"/>
        <v>-0.87918018510802576</v>
      </c>
      <c r="K150" s="735">
        <f>D150</f>
        <v>4431.0612499999997</v>
      </c>
      <c r="L150" s="100"/>
    </row>
    <row r="151" spans="1:12" x14ac:dyDescent="0.25">
      <c r="A151" s="695" t="str">
        <f t="shared" si="35"/>
        <v>Agricultural</v>
      </c>
      <c r="B151" s="620"/>
      <c r="C151" s="733"/>
      <c r="D151" s="733"/>
      <c r="E151" s="733"/>
      <c r="F151" s="733"/>
      <c r="G151" s="733"/>
      <c r="H151" s="733"/>
      <c r="I151" s="408">
        <f t="shared" si="37"/>
        <v>0</v>
      </c>
      <c r="J151" s="408" t="str">
        <f t="shared" si="38"/>
        <v/>
      </c>
      <c r="K151" s="735"/>
      <c r="L151" s="100"/>
    </row>
    <row r="152" spans="1:12" x14ac:dyDescent="0.25">
      <c r="A152" s="695" t="str">
        <f t="shared" si="35"/>
        <v>Animal Care and Diseases</v>
      </c>
      <c r="B152" s="620"/>
      <c r="C152" s="733"/>
      <c r="D152" s="733">
        <v>982940.46</v>
      </c>
      <c r="E152" s="733"/>
      <c r="F152" s="733">
        <v>111726.94</v>
      </c>
      <c r="G152" s="733">
        <v>223453.88</v>
      </c>
      <c r="H152" s="733">
        <f t="shared" ref="H152:H153" si="51">D152/12*3</f>
        <v>245735.11499999999</v>
      </c>
      <c r="I152" s="408">
        <f t="shared" si="37"/>
        <v>-22281.234999999986</v>
      </c>
      <c r="J152" s="408">
        <f t="shared" si="38"/>
        <v>-9.0671758490844856E-2</v>
      </c>
      <c r="K152" s="735">
        <f>D152</f>
        <v>982940.46</v>
      </c>
      <c r="L152" s="100"/>
    </row>
    <row r="153" spans="1:12" x14ac:dyDescent="0.25">
      <c r="A153" s="695" t="str">
        <f t="shared" si="35"/>
        <v>Cemeteries, Funeral Parlours and Crematoriums</v>
      </c>
      <c r="B153" s="620"/>
      <c r="C153" s="733"/>
      <c r="D153" s="733">
        <v>26579168.830668706</v>
      </c>
      <c r="E153" s="733"/>
      <c r="F153" s="733">
        <v>2005193.17</v>
      </c>
      <c r="G153" s="733">
        <v>5975957.6199999992</v>
      </c>
      <c r="H153" s="733">
        <f t="shared" si="51"/>
        <v>6644792.2076671775</v>
      </c>
      <c r="I153" s="408">
        <f t="shared" si="37"/>
        <v>-668834.58766717836</v>
      </c>
      <c r="J153" s="408">
        <f t="shared" si="38"/>
        <v>-0.10065545569588093</v>
      </c>
      <c r="K153" s="735">
        <f>D153</f>
        <v>26579168.830668706</v>
      </c>
      <c r="L153" s="100"/>
    </row>
    <row r="154" spans="1:12" x14ac:dyDescent="0.25">
      <c r="A154" s="695" t="str">
        <f t="shared" si="35"/>
        <v>Child Care Facilities</v>
      </c>
      <c r="B154" s="620"/>
      <c r="C154" s="733"/>
      <c r="D154" s="733"/>
      <c r="E154" s="733"/>
      <c r="F154" s="733"/>
      <c r="G154" s="733"/>
      <c r="H154" s="733"/>
      <c r="I154" s="408">
        <f t="shared" si="37"/>
        <v>0</v>
      </c>
      <c r="J154" s="408" t="str">
        <f t="shared" si="38"/>
        <v/>
      </c>
      <c r="K154" s="735"/>
      <c r="L154" s="100"/>
    </row>
    <row r="155" spans="1:12" x14ac:dyDescent="0.25">
      <c r="A155" s="695" t="str">
        <f t="shared" si="35"/>
        <v>Community Halls and Facilities</v>
      </c>
      <c r="B155" s="620"/>
      <c r="C155" s="733"/>
      <c r="D155" s="733">
        <v>15746961.964834005</v>
      </c>
      <c r="E155" s="733"/>
      <c r="F155" s="733">
        <v>850514.54999999958</v>
      </c>
      <c r="G155" s="733">
        <v>2437105.1100000003</v>
      </c>
      <c r="H155" s="733">
        <f t="shared" ref="H155" si="52">D155/12*3</f>
        <v>3936740.4912085012</v>
      </c>
      <c r="I155" s="408">
        <f t="shared" si="37"/>
        <v>-1499635.3812085008</v>
      </c>
      <c r="J155" s="408">
        <f t="shared" si="38"/>
        <v>-0.38093325799794908</v>
      </c>
      <c r="K155" s="735">
        <f>D155</f>
        <v>15746961.964834005</v>
      </c>
      <c r="L155" s="100"/>
    </row>
    <row r="156" spans="1:12" x14ac:dyDescent="0.25">
      <c r="A156" s="695" t="str">
        <f t="shared" si="35"/>
        <v>Consumer Protection</v>
      </c>
      <c r="B156" s="620"/>
      <c r="C156" s="733"/>
      <c r="D156" s="733"/>
      <c r="E156" s="733"/>
      <c r="F156" s="733"/>
      <c r="G156" s="733"/>
      <c r="H156" s="733"/>
      <c r="I156" s="408">
        <f t="shared" si="37"/>
        <v>0</v>
      </c>
      <c r="J156" s="408" t="str">
        <f t="shared" si="38"/>
        <v/>
      </c>
      <c r="K156" s="735"/>
      <c r="L156" s="100"/>
    </row>
    <row r="157" spans="1:12" x14ac:dyDescent="0.25">
      <c r="A157" s="695" t="str">
        <f t="shared" si="35"/>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5"/>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5"/>
        <v>Education</v>
      </c>
      <c r="B159" s="620"/>
      <c r="C159" s="733"/>
      <c r="D159" s="733"/>
      <c r="E159" s="733"/>
      <c r="F159" s="733"/>
      <c r="G159" s="733"/>
      <c r="H159" s="733"/>
      <c r="I159" s="408">
        <f t="shared" ref="I159:I164" si="53">G159-H159</f>
        <v>0</v>
      </c>
      <c r="J159" s="408" t="str">
        <f t="shared" ref="J159:J164" si="54">IF(I159=0,"",I159/H159)</f>
        <v/>
      </c>
      <c r="K159" s="735"/>
      <c r="L159" s="100"/>
    </row>
    <row r="160" spans="1:12" x14ac:dyDescent="0.25">
      <c r="A160" s="695" t="str">
        <f t="shared" ref="A160:A191" si="55">A38</f>
        <v>Indigenous and Customary Law</v>
      </c>
      <c r="B160" s="620"/>
      <c r="C160" s="733"/>
      <c r="D160" s="733"/>
      <c r="E160" s="733"/>
      <c r="F160" s="733"/>
      <c r="G160" s="733"/>
      <c r="H160" s="733"/>
      <c r="I160" s="408">
        <f t="shared" si="53"/>
        <v>0</v>
      </c>
      <c r="J160" s="408" t="str">
        <f t="shared" si="54"/>
        <v/>
      </c>
      <c r="K160" s="735"/>
      <c r="L160" s="100"/>
    </row>
    <row r="161" spans="1:12" x14ac:dyDescent="0.25">
      <c r="A161" s="695" t="str">
        <f t="shared" si="55"/>
        <v>Industrial Promotion</v>
      </c>
      <c r="B161" s="620"/>
      <c r="C161" s="733"/>
      <c r="D161" s="733"/>
      <c r="E161" s="733"/>
      <c r="F161" s="733"/>
      <c r="G161" s="733"/>
      <c r="H161" s="733"/>
      <c r="I161" s="408">
        <f t="shared" si="53"/>
        <v>0</v>
      </c>
      <c r="J161" s="408" t="str">
        <f t="shared" si="54"/>
        <v/>
      </c>
      <c r="K161" s="735"/>
      <c r="L161" s="100"/>
    </row>
    <row r="162" spans="1:12" x14ac:dyDescent="0.25">
      <c r="A162" s="695" t="str">
        <f t="shared" si="55"/>
        <v>Language Policy</v>
      </c>
      <c r="B162" s="620"/>
      <c r="C162" s="733"/>
      <c r="D162" s="733"/>
      <c r="E162" s="733"/>
      <c r="F162" s="733"/>
      <c r="G162" s="733"/>
      <c r="H162" s="733"/>
      <c r="I162" s="408">
        <f t="shared" si="53"/>
        <v>0</v>
      </c>
      <c r="J162" s="408" t="str">
        <f t="shared" si="54"/>
        <v/>
      </c>
      <c r="K162" s="735"/>
      <c r="L162" s="100"/>
    </row>
    <row r="163" spans="1:12" x14ac:dyDescent="0.25">
      <c r="A163" s="695" t="str">
        <f t="shared" si="55"/>
        <v>Libraries and Archives</v>
      </c>
      <c r="B163" s="620"/>
      <c r="C163" s="733"/>
      <c r="D163" s="733">
        <v>68987451.478751421</v>
      </c>
      <c r="E163" s="733"/>
      <c r="F163" s="733">
        <v>5487277.3599999994</v>
      </c>
      <c r="G163" s="733">
        <v>14193787.570000004</v>
      </c>
      <c r="H163" s="733">
        <f t="shared" ref="H163" si="56">D163/12*3</f>
        <v>17246862.869687855</v>
      </c>
      <c r="I163" s="408">
        <f t="shared" si="53"/>
        <v>-3053075.2996878512</v>
      </c>
      <c r="J163" s="408">
        <f t="shared" si="54"/>
        <v>-0.17702206614362137</v>
      </c>
      <c r="K163" s="735">
        <f>D163</f>
        <v>68987451.478751421</v>
      </c>
      <c r="L163" s="100"/>
    </row>
    <row r="164" spans="1:12" x14ac:dyDescent="0.25">
      <c r="A164" s="695" t="str">
        <f t="shared" si="55"/>
        <v>Literacy Programmes</v>
      </c>
      <c r="B164" s="620"/>
      <c r="C164" s="733"/>
      <c r="D164" s="733"/>
      <c r="E164" s="733"/>
      <c r="F164" s="733"/>
      <c r="G164" s="733"/>
      <c r="H164" s="733"/>
      <c r="I164" s="408">
        <f t="shared" si="53"/>
        <v>0</v>
      </c>
      <c r="J164" s="408" t="str">
        <f t="shared" si="54"/>
        <v/>
      </c>
      <c r="K164" s="735"/>
      <c r="L164" s="100"/>
    </row>
    <row r="165" spans="1:12" x14ac:dyDescent="0.25">
      <c r="A165" s="695" t="str">
        <f t="shared" si="55"/>
        <v>Media Services</v>
      </c>
      <c r="B165" s="620"/>
      <c r="C165" s="733"/>
      <c r="D165" s="733"/>
      <c r="E165" s="733"/>
      <c r="F165" s="733"/>
      <c r="G165" s="733"/>
      <c r="H165" s="733"/>
      <c r="I165" s="408">
        <f t="shared" si="37"/>
        <v>0</v>
      </c>
      <c r="J165" s="408" t="str">
        <f t="shared" si="38"/>
        <v/>
      </c>
      <c r="K165" s="735"/>
      <c r="L165" s="100"/>
    </row>
    <row r="166" spans="1:12" x14ac:dyDescent="0.25">
      <c r="A166" s="695" t="str">
        <f t="shared" si="55"/>
        <v>Museums and Art Galleries</v>
      </c>
      <c r="B166" s="620"/>
      <c r="C166" s="733"/>
      <c r="D166" s="733">
        <v>7907722.2016169671</v>
      </c>
      <c r="E166" s="733"/>
      <c r="F166" s="733">
        <v>373464.32999999996</v>
      </c>
      <c r="G166" s="733">
        <v>916741.13000000024</v>
      </c>
      <c r="H166" s="733">
        <f t="shared" ref="H166:H167" si="57">D166/12*3</f>
        <v>1976930.5504042418</v>
      </c>
      <c r="I166" s="408">
        <f t="shared" si="37"/>
        <v>-1060189.4204042414</v>
      </c>
      <c r="J166" s="408">
        <f t="shared" si="38"/>
        <v>-0.53628055886305892</v>
      </c>
      <c r="K166" s="735">
        <f>D166</f>
        <v>7907722.2016169671</v>
      </c>
      <c r="L166" s="100"/>
    </row>
    <row r="167" spans="1:12" x14ac:dyDescent="0.25">
      <c r="A167" s="695" t="str">
        <f t="shared" si="55"/>
        <v>Population Development</v>
      </c>
      <c r="B167" s="620"/>
      <c r="C167" s="733"/>
      <c r="D167" s="733">
        <v>8165049.8017358435</v>
      </c>
      <c r="E167" s="733"/>
      <c r="F167" s="733">
        <v>437705.79</v>
      </c>
      <c r="G167" s="733">
        <v>1228006.8900000004</v>
      </c>
      <c r="H167" s="733">
        <f t="shared" si="57"/>
        <v>2041262.4504339607</v>
      </c>
      <c r="I167" s="408">
        <f t="shared" si="37"/>
        <v>-813255.56043396029</v>
      </c>
      <c r="J167" s="408">
        <f t="shared" si="38"/>
        <v>-0.39840813231099548</v>
      </c>
      <c r="K167" s="735">
        <f>D167</f>
        <v>8165049.8017358435</v>
      </c>
      <c r="L167" s="100"/>
    </row>
    <row r="168" spans="1:12" x14ac:dyDescent="0.25">
      <c r="A168" s="695" t="str">
        <f t="shared" si="55"/>
        <v>Provincial Cultural Matters</v>
      </c>
      <c r="B168" s="620"/>
      <c r="C168" s="733"/>
      <c r="D168" s="733"/>
      <c r="E168" s="733"/>
      <c r="F168" s="733"/>
      <c r="G168" s="733"/>
      <c r="H168" s="733"/>
      <c r="I168" s="408">
        <f t="shared" si="37"/>
        <v>0</v>
      </c>
      <c r="J168" s="408" t="str">
        <f t="shared" si="38"/>
        <v/>
      </c>
      <c r="K168" s="735"/>
      <c r="L168" s="100"/>
    </row>
    <row r="169" spans="1:12" x14ac:dyDescent="0.25">
      <c r="A169" s="695" t="str">
        <f t="shared" si="55"/>
        <v>Theatres</v>
      </c>
      <c r="B169" s="620"/>
      <c r="C169" s="733"/>
      <c r="D169" s="733"/>
      <c r="E169" s="733"/>
      <c r="F169" s="733"/>
      <c r="G169" s="733"/>
      <c r="H169" s="733"/>
      <c r="I169" s="408">
        <f t="shared" si="37"/>
        <v>0</v>
      </c>
      <c r="J169" s="408" t="str">
        <f t="shared" si="38"/>
        <v/>
      </c>
      <c r="K169" s="735"/>
      <c r="L169" s="100"/>
    </row>
    <row r="170" spans="1:12" x14ac:dyDescent="0.25">
      <c r="A170" s="695" t="str">
        <f t="shared" si="55"/>
        <v>Zoo's</v>
      </c>
      <c r="B170" s="620"/>
      <c r="C170" s="733"/>
      <c r="D170" s="733"/>
      <c r="E170" s="733"/>
      <c r="F170" s="733"/>
      <c r="G170" s="733"/>
      <c r="H170" s="733"/>
      <c r="I170" s="408">
        <f t="shared" si="37"/>
        <v>0</v>
      </c>
      <c r="J170" s="408" t="str">
        <f t="shared" si="38"/>
        <v/>
      </c>
      <c r="K170" s="735"/>
      <c r="L170" s="100"/>
    </row>
    <row r="171" spans="1:12" x14ac:dyDescent="0.25">
      <c r="A171" s="607" t="str">
        <f t="shared" si="55"/>
        <v>Sport and recreation</v>
      </c>
      <c r="B171" s="620"/>
      <c r="C171" s="611">
        <f t="shared" ref="C171:K171" si="58">SUM(C172:C176)</f>
        <v>0</v>
      </c>
      <c r="D171" s="611">
        <f t="shared" si="58"/>
        <v>114418472.68896006</v>
      </c>
      <c r="E171" s="611">
        <f t="shared" si="58"/>
        <v>0</v>
      </c>
      <c r="F171" s="611">
        <f t="shared" si="58"/>
        <v>8499169.1900000013</v>
      </c>
      <c r="G171" s="611">
        <f t="shared" si="58"/>
        <v>24834538.629999995</v>
      </c>
      <c r="H171" s="611">
        <f t="shared" si="58"/>
        <v>28604618.172240015</v>
      </c>
      <c r="I171" s="611">
        <f t="shared" ref="I171:I176" si="59">G171-H171</f>
        <v>-3770079.5422400199</v>
      </c>
      <c r="J171" s="611">
        <f t="shared" ref="J171:J176" si="60">IF(I171=0,"",I171/H171)</f>
        <v>-0.1317996807207438</v>
      </c>
      <c r="K171" s="614">
        <f t="shared" si="58"/>
        <v>114418472.68896006</v>
      </c>
      <c r="L171" s="100"/>
    </row>
    <row r="172" spans="1:12" x14ac:dyDescent="0.25">
      <c r="A172" s="695" t="str">
        <f t="shared" si="55"/>
        <v xml:space="preserve">Beaches and Jetties </v>
      </c>
      <c r="B172" s="620"/>
      <c r="C172" s="733"/>
      <c r="D172" s="733"/>
      <c r="E172" s="733"/>
      <c r="F172" s="733"/>
      <c r="G172" s="733"/>
      <c r="H172" s="733"/>
      <c r="I172" s="408">
        <f t="shared" si="59"/>
        <v>0</v>
      </c>
      <c r="J172" s="408" t="str">
        <f t="shared" si="60"/>
        <v/>
      </c>
      <c r="K172" s="735"/>
      <c r="L172" s="100"/>
    </row>
    <row r="173" spans="1:12" x14ac:dyDescent="0.25">
      <c r="A173" s="695" t="str">
        <f t="shared" si="55"/>
        <v>Casinos, Racing, Gambling, Wagering</v>
      </c>
      <c r="B173" s="620"/>
      <c r="C173" s="733"/>
      <c r="D173" s="733"/>
      <c r="E173" s="733"/>
      <c r="F173" s="733"/>
      <c r="G173" s="733"/>
      <c r="H173" s="733"/>
      <c r="I173" s="408">
        <f t="shared" si="59"/>
        <v>0</v>
      </c>
      <c r="J173" s="408" t="str">
        <f t="shared" si="60"/>
        <v/>
      </c>
      <c r="K173" s="735"/>
      <c r="L173" s="100"/>
    </row>
    <row r="174" spans="1:12" x14ac:dyDescent="0.25">
      <c r="A174" s="695" t="str">
        <f t="shared" si="55"/>
        <v>Community Parks (including Nurseries)</v>
      </c>
      <c r="B174" s="620"/>
      <c r="C174" s="733"/>
      <c r="D174" s="733">
        <v>48114791.713263765</v>
      </c>
      <c r="E174" s="733"/>
      <c r="F174" s="733">
        <v>3807178.2000000011</v>
      </c>
      <c r="G174" s="733">
        <v>11264596.709999993</v>
      </c>
      <c r="H174" s="733">
        <f t="shared" ref="H174:H175" si="61">D174/12*3</f>
        <v>12028697.928315941</v>
      </c>
      <c r="I174" s="408">
        <f t="shared" si="59"/>
        <v>-764101.2183159478</v>
      </c>
      <c r="J174" s="408">
        <f t="shared" si="60"/>
        <v>-6.3523186205984017E-2</v>
      </c>
      <c r="K174" s="735">
        <f>D174</f>
        <v>48114791.713263765</v>
      </c>
      <c r="L174" s="100"/>
    </row>
    <row r="175" spans="1:12" x14ac:dyDescent="0.25">
      <c r="A175" s="695" t="str">
        <f t="shared" si="55"/>
        <v>Recreational Facilities</v>
      </c>
      <c r="B175" s="620"/>
      <c r="C175" s="733"/>
      <c r="D175" s="733">
        <v>66303680.975696295</v>
      </c>
      <c r="E175" s="733"/>
      <c r="F175" s="733">
        <v>4691990.9899999993</v>
      </c>
      <c r="G175" s="733">
        <v>13569941.920000002</v>
      </c>
      <c r="H175" s="733">
        <f t="shared" si="61"/>
        <v>16575920.243924074</v>
      </c>
      <c r="I175" s="408">
        <f t="shared" si="59"/>
        <v>-3005978.3239240721</v>
      </c>
      <c r="J175" s="408">
        <f t="shared" si="60"/>
        <v>-0.18134608997204349</v>
      </c>
      <c r="K175" s="735">
        <f>D175</f>
        <v>66303680.975696295</v>
      </c>
      <c r="L175" s="100"/>
    </row>
    <row r="176" spans="1:12" x14ac:dyDescent="0.25">
      <c r="A176" s="695" t="str">
        <f t="shared" si="55"/>
        <v>Sports Grounds and Stadiums</v>
      </c>
      <c r="B176" s="620"/>
      <c r="C176" s="733"/>
      <c r="D176" s="733"/>
      <c r="E176" s="733"/>
      <c r="F176" s="733"/>
      <c r="G176" s="733"/>
      <c r="H176" s="733"/>
      <c r="I176" s="408">
        <f t="shared" si="59"/>
        <v>0</v>
      </c>
      <c r="J176" s="408" t="str">
        <f t="shared" si="60"/>
        <v/>
      </c>
      <c r="K176" s="735"/>
      <c r="L176" s="100"/>
    </row>
    <row r="177" spans="1:12" x14ac:dyDescent="0.25">
      <c r="A177" s="607" t="str">
        <f t="shared" si="55"/>
        <v>Public safety</v>
      </c>
      <c r="B177" s="620"/>
      <c r="C177" s="611">
        <f t="shared" ref="C177:K177" si="62">SUM(C178:C185)</f>
        <v>0</v>
      </c>
      <c r="D177" s="611">
        <f t="shared" si="62"/>
        <v>106871795.2822189</v>
      </c>
      <c r="E177" s="611">
        <f t="shared" si="62"/>
        <v>0</v>
      </c>
      <c r="F177" s="611">
        <f t="shared" si="62"/>
        <v>16937358.609999992</v>
      </c>
      <c r="G177" s="611">
        <f t="shared" si="62"/>
        <v>46694186.380000159</v>
      </c>
      <c r="H177" s="611">
        <f t="shared" si="62"/>
        <v>26717948.820554726</v>
      </c>
      <c r="I177" s="611">
        <f t="shared" si="37"/>
        <v>19976237.559445433</v>
      </c>
      <c r="J177" s="611">
        <f t="shared" si="38"/>
        <v>0.7476710766088922</v>
      </c>
      <c r="K177" s="614">
        <f t="shared" si="62"/>
        <v>106871795.2822189</v>
      </c>
      <c r="L177" s="100"/>
    </row>
    <row r="178" spans="1:12" x14ac:dyDescent="0.25">
      <c r="A178" s="695" t="str">
        <f t="shared" si="55"/>
        <v>Civil Defence</v>
      </c>
      <c r="B178" s="620"/>
      <c r="C178" s="733"/>
      <c r="D178" s="733">
        <v>12197113.976451974</v>
      </c>
      <c r="E178" s="733"/>
      <c r="F178" s="733">
        <v>3022585.22</v>
      </c>
      <c r="G178" s="733">
        <v>3177810.33</v>
      </c>
      <c r="H178" s="733">
        <f t="shared" ref="H178" si="63">D178/12*3</f>
        <v>3049278.4941129936</v>
      </c>
      <c r="I178" s="408">
        <f t="shared" si="37"/>
        <v>128531.83588700648</v>
      </c>
      <c r="J178" s="408">
        <f t="shared" si="38"/>
        <v>4.2151556879816969E-2</v>
      </c>
      <c r="K178" s="735">
        <f>D178</f>
        <v>12197113.976451974</v>
      </c>
      <c r="L178" s="100"/>
    </row>
    <row r="179" spans="1:12" x14ac:dyDescent="0.25">
      <c r="A179" s="695" t="str">
        <f t="shared" si="55"/>
        <v>Cleansing</v>
      </c>
      <c r="B179" s="620"/>
      <c r="C179" s="733"/>
      <c r="D179" s="733"/>
      <c r="E179" s="733"/>
      <c r="F179" s="733"/>
      <c r="G179" s="733"/>
      <c r="H179" s="733"/>
      <c r="I179" s="408">
        <f t="shared" si="37"/>
        <v>0</v>
      </c>
      <c r="J179" s="408" t="str">
        <f t="shared" si="38"/>
        <v/>
      </c>
      <c r="K179" s="735"/>
      <c r="L179" s="100"/>
    </row>
    <row r="180" spans="1:12" x14ac:dyDescent="0.25">
      <c r="A180" s="695" t="str">
        <f t="shared" si="55"/>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5"/>
        <v xml:space="preserve">Fencing and Fences </v>
      </c>
      <c r="B181" s="620"/>
      <c r="C181" s="733"/>
      <c r="D181" s="733"/>
      <c r="E181" s="733"/>
      <c r="F181" s="733"/>
      <c r="G181" s="733"/>
      <c r="H181" s="733"/>
      <c r="I181" s="408">
        <f t="shared" si="37"/>
        <v>0</v>
      </c>
      <c r="J181" s="408" t="str">
        <f t="shared" si="38"/>
        <v/>
      </c>
      <c r="K181" s="735"/>
      <c r="L181" s="100"/>
    </row>
    <row r="182" spans="1:12" x14ac:dyDescent="0.25">
      <c r="A182" s="695" t="str">
        <f t="shared" si="55"/>
        <v>Fire Fighting and Protection</v>
      </c>
      <c r="B182" s="620"/>
      <c r="C182" s="733"/>
      <c r="D182" s="733">
        <v>94674681.305766925</v>
      </c>
      <c r="E182" s="733"/>
      <c r="F182" s="733">
        <v>8926432.0399999917</v>
      </c>
      <c r="G182" s="733">
        <v>26480880.240000159</v>
      </c>
      <c r="H182" s="733">
        <f t="shared" ref="H182" si="64">D182/12*3</f>
        <v>23668670.326441731</v>
      </c>
      <c r="I182" s="408">
        <f t="shared" si="37"/>
        <v>2812209.9135584272</v>
      </c>
      <c r="J182" s="408">
        <f t="shared" si="38"/>
        <v>0.11881571185757461</v>
      </c>
      <c r="K182" s="735">
        <f>D182</f>
        <v>94674681.305766925</v>
      </c>
      <c r="L182" s="100"/>
    </row>
    <row r="183" spans="1:12" x14ac:dyDescent="0.25">
      <c r="A183" s="695" t="str">
        <f t="shared" si="55"/>
        <v>Licensing and Control of Animals</v>
      </c>
      <c r="B183" s="620"/>
      <c r="C183" s="733"/>
      <c r="D183" s="733"/>
      <c r="E183" s="733"/>
      <c r="F183" s="733">
        <v>4988341.3499999996</v>
      </c>
      <c r="G183" s="733">
        <v>17035495.809999999</v>
      </c>
      <c r="H183" s="733"/>
      <c r="I183" s="408">
        <f>G183-H183</f>
        <v>17035495.809999999</v>
      </c>
      <c r="J183" s="408" t="e">
        <f>IF(I183=0,"",I183/H183)</f>
        <v>#DIV/0!</v>
      </c>
      <c r="K183" s="735"/>
      <c r="L183" s="100"/>
    </row>
    <row r="184" spans="1:12" x14ac:dyDescent="0.25">
      <c r="A184" s="695" t="str">
        <f t="shared" si="55"/>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55"/>
        <v>Pounds</v>
      </c>
      <c r="B185" s="620"/>
      <c r="C185" s="733"/>
      <c r="D185" s="733"/>
      <c r="E185" s="733"/>
      <c r="F185" s="733"/>
      <c r="G185" s="733"/>
      <c r="H185" s="733"/>
      <c r="I185" s="408">
        <f t="shared" si="37"/>
        <v>0</v>
      </c>
      <c r="J185" s="408" t="str">
        <f t="shared" si="38"/>
        <v/>
      </c>
      <c r="K185" s="735"/>
      <c r="L185" s="100"/>
    </row>
    <row r="186" spans="1:12" x14ac:dyDescent="0.25">
      <c r="A186" s="607" t="str">
        <f t="shared" si="55"/>
        <v>Housing</v>
      </c>
      <c r="B186" s="620"/>
      <c r="C186" s="611">
        <f t="shared" ref="C186:H186" si="65">SUM(C187:C188)</f>
        <v>0</v>
      </c>
      <c r="D186" s="611">
        <f t="shared" si="65"/>
        <v>90129848.361797929</v>
      </c>
      <c r="E186" s="611">
        <f t="shared" si="65"/>
        <v>0</v>
      </c>
      <c r="F186" s="611">
        <f t="shared" si="65"/>
        <v>4626763.580000001</v>
      </c>
      <c r="G186" s="611">
        <f t="shared" si="65"/>
        <v>11707329.500000004</v>
      </c>
      <c r="H186" s="611">
        <f t="shared" si="65"/>
        <v>22532462.090449482</v>
      </c>
      <c r="I186" s="611">
        <f>G186-H186</f>
        <v>-10825132.590449478</v>
      </c>
      <c r="J186" s="611">
        <f>IF(I186=0,"",I186/H186)</f>
        <v>-0.48042386788427238</v>
      </c>
      <c r="K186" s="611">
        <f>SUM(K187:K188)</f>
        <v>90129848.361797929</v>
      </c>
      <c r="L186" s="100"/>
    </row>
    <row r="187" spans="1:12" x14ac:dyDescent="0.25">
      <c r="A187" s="695" t="str">
        <f t="shared" si="55"/>
        <v>Housing</v>
      </c>
      <c r="B187" s="620"/>
      <c r="C187" s="733"/>
      <c r="D187" s="733">
        <v>90129848.361797929</v>
      </c>
      <c r="E187" s="733"/>
      <c r="F187" s="733">
        <v>4626763.580000001</v>
      </c>
      <c r="G187" s="733">
        <v>11707329.500000004</v>
      </c>
      <c r="H187" s="733">
        <f t="shared" ref="H187" si="66">D187/12*3</f>
        <v>22532462.090449482</v>
      </c>
      <c r="I187" s="408">
        <f>G187-H187</f>
        <v>-10825132.590449478</v>
      </c>
      <c r="J187" s="408">
        <f>IF(I187=0,"",I187/H187)</f>
        <v>-0.48042386788427238</v>
      </c>
      <c r="K187" s="735">
        <f>D187</f>
        <v>90129848.361797929</v>
      </c>
      <c r="L187" s="100"/>
    </row>
    <row r="188" spans="1:12" x14ac:dyDescent="0.25">
      <c r="A188" s="695" t="str">
        <f t="shared" si="55"/>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5"/>
        <v>Health</v>
      </c>
      <c r="B189" s="620"/>
      <c r="C189" s="611">
        <f t="shared" ref="C189:K189" si="67">SUM(C190:C196)</f>
        <v>0</v>
      </c>
      <c r="D189" s="611">
        <f t="shared" si="67"/>
        <v>273885.02793777513</v>
      </c>
      <c r="E189" s="611">
        <f t="shared" si="67"/>
        <v>0</v>
      </c>
      <c r="F189" s="611">
        <f t="shared" si="67"/>
        <v>739823.33000000007</v>
      </c>
      <c r="G189" s="611">
        <f t="shared" si="67"/>
        <v>2232599.84</v>
      </c>
      <c r="H189" s="611">
        <f t="shared" si="67"/>
        <v>68471.256984443782</v>
      </c>
      <c r="I189" s="611">
        <f t="shared" si="37"/>
        <v>2164128.583015556</v>
      </c>
      <c r="J189" s="611">
        <f t="shared" si="38"/>
        <v>31.606380229111782</v>
      </c>
      <c r="K189" s="614">
        <f t="shared" si="67"/>
        <v>273885.02793777513</v>
      </c>
      <c r="L189" s="100"/>
    </row>
    <row r="190" spans="1:12" x14ac:dyDescent="0.25">
      <c r="A190" s="695" t="str">
        <f t="shared" si="55"/>
        <v>Ambulance</v>
      </c>
      <c r="B190" s="620"/>
      <c r="C190" s="733"/>
      <c r="D190" s="733"/>
      <c r="E190" s="733"/>
      <c r="F190" s="733"/>
      <c r="G190" s="733"/>
      <c r="H190" s="733"/>
      <c r="I190" s="408">
        <f t="shared" si="37"/>
        <v>0</v>
      </c>
      <c r="J190" s="408" t="str">
        <f t="shared" si="38"/>
        <v/>
      </c>
      <c r="K190" s="735"/>
      <c r="L190" s="100"/>
    </row>
    <row r="191" spans="1:12" x14ac:dyDescent="0.25">
      <c r="A191" s="695" t="str">
        <f t="shared" si="55"/>
        <v>Health Services</v>
      </c>
      <c r="B191" s="620"/>
      <c r="C191" s="733"/>
      <c r="D191" s="733">
        <v>273885.02793777513</v>
      </c>
      <c r="E191" s="733"/>
      <c r="F191" s="733">
        <v>739823.33000000007</v>
      </c>
      <c r="G191" s="733">
        <v>2232599.84</v>
      </c>
      <c r="H191" s="733">
        <f t="shared" ref="H191" si="68">D191/12*3</f>
        <v>68471.256984443782</v>
      </c>
      <c r="I191" s="408">
        <f t="shared" si="37"/>
        <v>2164128.583015556</v>
      </c>
      <c r="J191" s="408">
        <f t="shared" si="38"/>
        <v>31.606380229111782</v>
      </c>
      <c r="K191" s="735">
        <f>D191</f>
        <v>273885.02793777513</v>
      </c>
      <c r="L191" s="100"/>
    </row>
    <row r="192" spans="1:12" x14ac:dyDescent="0.25">
      <c r="A192" s="695" t="str">
        <f t="shared" ref="A192:A223" si="69">A70</f>
        <v>Laboratory Services</v>
      </c>
      <c r="B192" s="620"/>
      <c r="C192" s="733"/>
      <c r="D192" s="733"/>
      <c r="E192" s="733"/>
      <c r="F192" s="733"/>
      <c r="G192" s="733"/>
      <c r="H192" s="733"/>
      <c r="I192" s="408">
        <f t="shared" si="37"/>
        <v>0</v>
      </c>
      <c r="J192" s="408" t="str">
        <f t="shared" si="38"/>
        <v/>
      </c>
      <c r="K192" s="735"/>
      <c r="L192" s="100"/>
    </row>
    <row r="193" spans="1:12" x14ac:dyDescent="0.25">
      <c r="A193" s="695" t="str">
        <f t="shared" si="69"/>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9"/>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9"/>
        <v>Vector Control</v>
      </c>
      <c r="B195" s="620"/>
      <c r="C195" s="733"/>
      <c r="D195" s="733"/>
      <c r="E195" s="733"/>
      <c r="F195" s="733"/>
      <c r="G195" s="733"/>
      <c r="H195" s="733"/>
      <c r="I195" s="408">
        <f t="shared" si="37"/>
        <v>0</v>
      </c>
      <c r="J195" s="408" t="str">
        <f t="shared" si="38"/>
        <v/>
      </c>
      <c r="K195" s="735"/>
      <c r="L195" s="100"/>
    </row>
    <row r="196" spans="1:12" x14ac:dyDescent="0.25">
      <c r="A196" s="695" t="str">
        <f t="shared" si="69"/>
        <v>Chemical Safety</v>
      </c>
      <c r="B196" s="620"/>
      <c r="C196" s="733"/>
      <c r="D196" s="733"/>
      <c r="E196" s="733"/>
      <c r="F196" s="733"/>
      <c r="G196" s="733"/>
      <c r="H196" s="733"/>
      <c r="I196" s="408">
        <f t="shared" si="37"/>
        <v>0</v>
      </c>
      <c r="J196" s="408" t="str">
        <f t="shared" si="38"/>
        <v/>
      </c>
      <c r="K196" s="735"/>
      <c r="L196" s="100"/>
    </row>
    <row r="197" spans="1:12" x14ac:dyDescent="0.25">
      <c r="A197" s="414" t="str">
        <f t="shared" si="69"/>
        <v>Economic and environmental services</v>
      </c>
      <c r="B197" s="620"/>
      <c r="C197" s="605">
        <f t="shared" ref="C197:H197" si="70">C198+C209+C214</f>
        <v>0</v>
      </c>
      <c r="D197" s="605">
        <f t="shared" si="70"/>
        <v>288173315.58344549</v>
      </c>
      <c r="E197" s="605">
        <f t="shared" si="70"/>
        <v>0</v>
      </c>
      <c r="F197" s="605">
        <f t="shared" si="70"/>
        <v>25223488.00999999</v>
      </c>
      <c r="G197" s="605">
        <f t="shared" si="70"/>
        <v>71240598.399999991</v>
      </c>
      <c r="H197" s="605">
        <f t="shared" si="70"/>
        <v>72043328.895861372</v>
      </c>
      <c r="I197" s="605">
        <f t="shared" si="37"/>
        <v>-802730.49586138129</v>
      </c>
      <c r="J197" s="605">
        <f t="shared" si="38"/>
        <v>-1.114232931992535E-2</v>
      </c>
      <c r="K197" s="606">
        <f>K198+K209+K214</f>
        <v>288173315.58344549</v>
      </c>
      <c r="L197" s="100"/>
    </row>
    <row r="198" spans="1:12" x14ac:dyDescent="0.25">
      <c r="A198" s="607" t="str">
        <f t="shared" si="69"/>
        <v>Planning and development</v>
      </c>
      <c r="B198" s="620"/>
      <c r="C198" s="611">
        <f t="shared" ref="C198:K198" si="71">SUM(C199:C208)</f>
        <v>0</v>
      </c>
      <c r="D198" s="611">
        <f t="shared" si="71"/>
        <v>92239503.875528902</v>
      </c>
      <c r="E198" s="611">
        <f t="shared" si="71"/>
        <v>0</v>
      </c>
      <c r="F198" s="611">
        <f t="shared" si="71"/>
        <v>4764921.6499999985</v>
      </c>
      <c r="G198" s="611">
        <f t="shared" si="71"/>
        <v>13801321.970000003</v>
      </c>
      <c r="H198" s="611">
        <f t="shared" si="71"/>
        <v>23059875.968882225</v>
      </c>
      <c r="I198" s="611">
        <f t="shared" si="37"/>
        <v>-9258553.9988822229</v>
      </c>
      <c r="J198" s="611">
        <f t="shared" si="38"/>
        <v>-0.40150059832828366</v>
      </c>
      <c r="K198" s="614">
        <f t="shared" si="71"/>
        <v>92239503.875528902</v>
      </c>
      <c r="L198" s="100"/>
    </row>
    <row r="199" spans="1:12" x14ac:dyDescent="0.25">
      <c r="A199" s="695" t="str">
        <f t="shared" si="69"/>
        <v>Billboards</v>
      </c>
      <c r="B199" s="620"/>
      <c r="C199" s="733"/>
      <c r="D199" s="733"/>
      <c r="E199" s="733"/>
      <c r="F199" s="733"/>
      <c r="G199" s="733"/>
      <c r="H199" s="733"/>
      <c r="I199" s="408">
        <f t="shared" si="37"/>
        <v>0</v>
      </c>
      <c r="J199" s="408" t="str">
        <f t="shared" si="38"/>
        <v/>
      </c>
      <c r="K199" s="735"/>
      <c r="L199" s="100"/>
    </row>
    <row r="200" spans="1:12" x14ac:dyDescent="0.25">
      <c r="A200" s="695" t="str">
        <f t="shared" si="69"/>
        <v>Corporate Wide Strategic Planning (IDPs, LEDs)</v>
      </c>
      <c r="B200" s="620"/>
      <c r="C200" s="733"/>
      <c r="D200" s="733">
        <v>12848610.792359998</v>
      </c>
      <c r="E200" s="733"/>
      <c r="F200" s="733">
        <v>533215.03</v>
      </c>
      <c r="G200" s="733">
        <v>1378879.9599999997</v>
      </c>
      <c r="H200" s="733">
        <f t="shared" ref="H200" si="72">D200/12*3</f>
        <v>3212152.6980899996</v>
      </c>
      <c r="I200" s="408">
        <f t="shared" si="37"/>
        <v>-1833272.7380899999</v>
      </c>
      <c r="J200" s="408">
        <f t="shared" si="38"/>
        <v>-0.57073025799181176</v>
      </c>
      <c r="K200" s="735">
        <f>D200</f>
        <v>12848610.792359998</v>
      </c>
      <c r="L200" s="100"/>
    </row>
    <row r="201" spans="1:12" x14ac:dyDescent="0.25">
      <c r="A201" s="695" t="str">
        <f t="shared" si="69"/>
        <v>Central City Improvement District</v>
      </c>
      <c r="B201" s="620"/>
      <c r="C201" s="733"/>
      <c r="D201" s="733"/>
      <c r="E201" s="733"/>
      <c r="F201" s="733"/>
      <c r="G201" s="733"/>
      <c r="H201" s="733"/>
      <c r="I201" s="408">
        <f t="shared" si="37"/>
        <v>0</v>
      </c>
      <c r="J201" s="408" t="str">
        <f t="shared" si="38"/>
        <v/>
      </c>
      <c r="K201" s="735"/>
      <c r="L201" s="100"/>
    </row>
    <row r="202" spans="1:12" x14ac:dyDescent="0.25">
      <c r="A202" s="695" t="str">
        <f t="shared" si="69"/>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69"/>
        <v>Economic Development/Planning</v>
      </c>
      <c r="B203" s="620"/>
      <c r="C203" s="733"/>
      <c r="D203" s="733">
        <v>12958288.606480801</v>
      </c>
      <c r="E203" s="733"/>
      <c r="F203" s="733">
        <v>362257.92999999988</v>
      </c>
      <c r="G203" s="733">
        <v>1030388.9999999999</v>
      </c>
      <c r="H203" s="733">
        <f t="shared" ref="H203" si="73">D203/12*3</f>
        <v>3239572.1516201999</v>
      </c>
      <c r="I203" s="408">
        <f>G203-H203</f>
        <v>-2209183.1516201999</v>
      </c>
      <c r="J203" s="408">
        <f>IF(I203=0,"",I203/H203)</f>
        <v>-0.68193670281902075</v>
      </c>
      <c r="K203" s="735">
        <f>D203</f>
        <v>12958288.606480801</v>
      </c>
      <c r="L203" s="100"/>
    </row>
    <row r="204" spans="1:12" x14ac:dyDescent="0.25">
      <c r="A204" s="695" t="str">
        <f t="shared" si="69"/>
        <v>Regional Planning and Development</v>
      </c>
      <c r="B204" s="620"/>
      <c r="C204" s="733"/>
      <c r="D204" s="733"/>
      <c r="E204" s="733"/>
      <c r="F204" s="733"/>
      <c r="G204" s="733"/>
      <c r="H204" s="733"/>
      <c r="I204" s="408">
        <f>G204-H204</f>
        <v>0</v>
      </c>
      <c r="J204" s="408" t="str">
        <f>IF(I204=0,"",I204/H204)</f>
        <v/>
      </c>
      <c r="K204" s="735"/>
      <c r="L204" s="100"/>
    </row>
    <row r="205" spans="1:12" ht="20.399999999999999" x14ac:dyDescent="0.25">
      <c r="A205" s="695" t="str">
        <f t="shared" si="69"/>
        <v>Town Planning, Building Regulations and Enforcement, and City Engineer</v>
      </c>
      <c r="B205" s="620"/>
      <c r="C205" s="733"/>
      <c r="D205" s="733">
        <v>66432604.476688094</v>
      </c>
      <c r="E205" s="733"/>
      <c r="F205" s="733">
        <v>3869448.689999999</v>
      </c>
      <c r="G205" s="733">
        <v>11392053.010000004</v>
      </c>
      <c r="H205" s="733">
        <f t="shared" ref="H205" si="74">D205/12*3</f>
        <v>16608151.119172024</v>
      </c>
      <c r="I205" s="408">
        <f>G205-H205</f>
        <v>-5216098.1091720201</v>
      </c>
      <c r="J205" s="408">
        <f>IF(I205=0,"",I205/H205)</f>
        <v>-0.31406856017529189</v>
      </c>
      <c r="K205" s="735">
        <f>D205</f>
        <v>66432604.476688094</v>
      </c>
      <c r="L205" s="100"/>
    </row>
    <row r="206" spans="1:12" x14ac:dyDescent="0.25">
      <c r="A206" s="695" t="str">
        <f t="shared" si="69"/>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69"/>
        <v>Provincial Planning</v>
      </c>
      <c r="B207" s="620"/>
      <c r="C207" s="733"/>
      <c r="D207" s="733"/>
      <c r="E207" s="733"/>
      <c r="F207" s="733"/>
      <c r="G207" s="733"/>
      <c r="H207" s="733"/>
      <c r="I207" s="408">
        <f t="shared" si="37"/>
        <v>0</v>
      </c>
      <c r="J207" s="408" t="str">
        <f t="shared" si="38"/>
        <v/>
      </c>
      <c r="K207" s="735"/>
      <c r="L207" s="100"/>
    </row>
    <row r="208" spans="1:12" x14ac:dyDescent="0.25">
      <c r="A208" s="695" t="str">
        <f t="shared" si="69"/>
        <v>Support to Local Municipalities</v>
      </c>
      <c r="B208" s="620"/>
      <c r="C208" s="733"/>
      <c r="D208" s="733"/>
      <c r="E208" s="733"/>
      <c r="F208" s="733"/>
      <c r="G208" s="733"/>
      <c r="H208" s="733"/>
      <c r="I208" s="408">
        <f t="shared" si="37"/>
        <v>0</v>
      </c>
      <c r="J208" s="408" t="str">
        <f t="shared" si="38"/>
        <v/>
      </c>
      <c r="K208" s="735"/>
      <c r="L208" s="100"/>
    </row>
    <row r="209" spans="1:12" x14ac:dyDescent="0.25">
      <c r="A209" s="607" t="str">
        <f t="shared" si="69"/>
        <v>Road transport</v>
      </c>
      <c r="B209" s="620"/>
      <c r="C209" s="611">
        <f t="shared" ref="C209:H209" si="75">SUM(C210:C213)</f>
        <v>0</v>
      </c>
      <c r="D209" s="611">
        <f t="shared" si="75"/>
        <v>171068986.74871668</v>
      </c>
      <c r="E209" s="611">
        <f t="shared" si="75"/>
        <v>0</v>
      </c>
      <c r="F209" s="611">
        <f t="shared" si="75"/>
        <v>18903937.899999991</v>
      </c>
      <c r="G209" s="611">
        <f t="shared" si="75"/>
        <v>52662126.289999984</v>
      </c>
      <c r="H209" s="611">
        <f t="shared" si="75"/>
        <v>42767246.687179171</v>
      </c>
      <c r="I209" s="611">
        <f t="shared" si="37"/>
        <v>9894879.6028208137</v>
      </c>
      <c r="J209" s="611">
        <f t="shared" si="38"/>
        <v>0.23136583178236525</v>
      </c>
      <c r="K209" s="614">
        <f>SUM(K210:K213)</f>
        <v>171068986.74871668</v>
      </c>
      <c r="L209" s="100"/>
    </row>
    <row r="210" spans="1:12" x14ac:dyDescent="0.25">
      <c r="A210" s="695" t="str">
        <f t="shared" si="69"/>
        <v>Public Transport</v>
      </c>
      <c r="B210" s="620"/>
      <c r="C210" s="733"/>
      <c r="D210" s="733">
        <v>6112737.5899952119</v>
      </c>
      <c r="E210" s="733"/>
      <c r="F210" s="733">
        <v>308991.56</v>
      </c>
      <c r="G210" s="733">
        <v>820241.08</v>
      </c>
      <c r="H210" s="733">
        <f t="shared" ref="H210:H213" si="76">D210/12*3</f>
        <v>1528184.397498803</v>
      </c>
      <c r="I210" s="408">
        <f t="shared" si="37"/>
        <v>-707943.31749880302</v>
      </c>
      <c r="J210" s="408">
        <f t="shared" si="38"/>
        <v>-0.46325778398045553</v>
      </c>
      <c r="K210" s="735">
        <f>D210</f>
        <v>6112737.5899952119</v>
      </c>
      <c r="L210" s="100"/>
    </row>
    <row r="211" spans="1:12" x14ac:dyDescent="0.25">
      <c r="A211" s="695" t="str">
        <f t="shared" si="69"/>
        <v>Road and Traffic Regulation</v>
      </c>
      <c r="B211" s="620"/>
      <c r="C211" s="733"/>
      <c r="D211" s="733">
        <v>75071897.514813796</v>
      </c>
      <c r="E211" s="733"/>
      <c r="F211" s="733"/>
      <c r="G211" s="733"/>
      <c r="H211" s="733">
        <f t="shared" si="76"/>
        <v>18767974.378703449</v>
      </c>
      <c r="I211" s="408">
        <f>G211-H211</f>
        <v>-18767974.378703449</v>
      </c>
      <c r="J211" s="408">
        <f>IF(I211=0,"",I211/H211)</f>
        <v>-1</v>
      </c>
      <c r="K211" s="735">
        <f>D211</f>
        <v>75071897.514813796</v>
      </c>
      <c r="L211" s="100"/>
    </row>
    <row r="212" spans="1:12" x14ac:dyDescent="0.25">
      <c r="A212" s="695" t="str">
        <f t="shared" si="69"/>
        <v>Roads</v>
      </c>
      <c r="B212" s="620"/>
      <c r="C212" s="733"/>
      <c r="D212" s="733">
        <v>86766270.60115768</v>
      </c>
      <c r="E212" s="733"/>
      <c r="F212" s="733">
        <v>18382715.609999992</v>
      </c>
      <c r="G212" s="733">
        <v>51452915.759999983</v>
      </c>
      <c r="H212" s="733">
        <f t="shared" si="76"/>
        <v>21691567.65028942</v>
      </c>
      <c r="I212" s="408">
        <f t="shared" si="37"/>
        <v>29761348.109710563</v>
      </c>
      <c r="J212" s="408">
        <f t="shared" si="38"/>
        <v>1.3720238476776698</v>
      </c>
      <c r="K212" s="735">
        <f>D212</f>
        <v>86766270.60115768</v>
      </c>
      <c r="L212" s="100"/>
    </row>
    <row r="213" spans="1:12" x14ac:dyDescent="0.25">
      <c r="A213" s="695" t="str">
        <f t="shared" si="69"/>
        <v>Taxi Ranks</v>
      </c>
      <c r="B213" s="620"/>
      <c r="C213" s="733"/>
      <c r="D213" s="733">
        <v>3118081.04275</v>
      </c>
      <c r="E213" s="733"/>
      <c r="F213" s="733">
        <v>212230.73</v>
      </c>
      <c r="G213" s="733">
        <v>388969.45</v>
      </c>
      <c r="H213" s="733">
        <f t="shared" si="76"/>
        <v>779520.26068750001</v>
      </c>
      <c r="I213" s="408">
        <f t="shared" si="37"/>
        <v>-390550.81068749999</v>
      </c>
      <c r="J213" s="408">
        <f t="shared" si="38"/>
        <v>-0.50101431660423124</v>
      </c>
      <c r="K213" s="735">
        <f>D213</f>
        <v>3118081.04275</v>
      </c>
      <c r="L213" s="100"/>
    </row>
    <row r="214" spans="1:12" x14ac:dyDescent="0.25">
      <c r="A214" s="607" t="str">
        <f t="shared" si="69"/>
        <v>Environmental protection</v>
      </c>
      <c r="B214" s="620"/>
      <c r="C214" s="611">
        <f t="shared" ref="C214:K214" si="77">SUM(C215:C220)</f>
        <v>0</v>
      </c>
      <c r="D214" s="611">
        <f t="shared" si="77"/>
        <v>24864824.959199883</v>
      </c>
      <c r="E214" s="611">
        <f t="shared" si="77"/>
        <v>0</v>
      </c>
      <c r="F214" s="611">
        <f t="shared" si="77"/>
        <v>1554628.4599999997</v>
      </c>
      <c r="G214" s="611">
        <f t="shared" si="77"/>
        <v>4777150.1400000006</v>
      </c>
      <c r="H214" s="611">
        <f t="shared" si="77"/>
        <v>6216206.2397999708</v>
      </c>
      <c r="I214" s="611">
        <f t="shared" si="37"/>
        <v>-1439056.0997999702</v>
      </c>
      <c r="J214" s="611">
        <f t="shared" si="38"/>
        <v>-0.23150070063413422</v>
      </c>
      <c r="K214" s="614">
        <f t="shared" si="77"/>
        <v>24864824.959199883</v>
      </c>
      <c r="L214" s="100"/>
    </row>
    <row r="215" spans="1:12" x14ac:dyDescent="0.25">
      <c r="A215" s="695" t="str">
        <f t="shared" si="69"/>
        <v>Biodiversity and Landscape</v>
      </c>
      <c r="B215" s="620"/>
      <c r="C215" s="733"/>
      <c r="D215" s="733"/>
      <c r="E215" s="733"/>
      <c r="F215" s="733"/>
      <c r="G215" s="733"/>
      <c r="H215" s="733"/>
      <c r="I215" s="408">
        <f t="shared" si="37"/>
        <v>0</v>
      </c>
      <c r="J215" s="408" t="str">
        <f t="shared" si="38"/>
        <v/>
      </c>
      <c r="K215" s="735"/>
      <c r="L215" s="100"/>
    </row>
    <row r="216" spans="1:12" x14ac:dyDescent="0.25">
      <c r="A216" s="695" t="str">
        <f t="shared" si="69"/>
        <v>Coastal Protection</v>
      </c>
      <c r="B216" s="620"/>
      <c r="C216" s="733"/>
      <c r="D216" s="733"/>
      <c r="E216" s="733"/>
      <c r="F216" s="733"/>
      <c r="G216" s="733"/>
      <c r="H216" s="733"/>
      <c r="I216" s="408">
        <f t="shared" si="37"/>
        <v>0</v>
      </c>
      <c r="J216" s="408" t="str">
        <f t="shared" si="38"/>
        <v/>
      </c>
      <c r="K216" s="735"/>
      <c r="L216" s="100"/>
    </row>
    <row r="217" spans="1:12" x14ac:dyDescent="0.25">
      <c r="A217" s="695" t="str">
        <f t="shared" si="69"/>
        <v>Indigenous Forests</v>
      </c>
      <c r="B217" s="620"/>
      <c r="C217" s="733"/>
      <c r="D217" s="733"/>
      <c r="E217" s="733"/>
      <c r="F217" s="733"/>
      <c r="G217" s="733"/>
      <c r="H217" s="733"/>
      <c r="I217" s="408">
        <f t="shared" si="37"/>
        <v>0</v>
      </c>
      <c r="J217" s="408" t="str">
        <f t="shared" si="38"/>
        <v/>
      </c>
      <c r="K217" s="735"/>
      <c r="L217" s="100"/>
    </row>
    <row r="218" spans="1:12" x14ac:dyDescent="0.25">
      <c r="A218" s="695" t="str">
        <f t="shared" si="69"/>
        <v>Nature Conservation</v>
      </c>
      <c r="B218" s="620"/>
      <c r="C218" s="733"/>
      <c r="D218" s="733">
        <v>7953351.9763347059</v>
      </c>
      <c r="E218" s="733"/>
      <c r="F218" s="733">
        <v>337083.24000000005</v>
      </c>
      <c r="G218" s="733">
        <v>958931.94000000006</v>
      </c>
      <c r="H218" s="733">
        <f t="shared" ref="H218:H219" si="78">D218/12*3</f>
        <v>1988337.9940836765</v>
      </c>
      <c r="I218" s="408">
        <f>G218-H218</f>
        <v>-1029406.0540836764</v>
      </c>
      <c r="J218" s="408">
        <f>IF(I218=0,"",I218/H218)</f>
        <v>-0.51772186476679849</v>
      </c>
      <c r="K218" s="735">
        <f>D218</f>
        <v>7953351.9763347059</v>
      </c>
      <c r="L218" s="100"/>
    </row>
    <row r="219" spans="1:12" x14ac:dyDescent="0.25">
      <c r="A219" s="695" t="str">
        <f t="shared" si="69"/>
        <v>Pollution Control</v>
      </c>
      <c r="B219" s="620"/>
      <c r="C219" s="733"/>
      <c r="D219" s="733">
        <v>16911472.982865177</v>
      </c>
      <c r="E219" s="733"/>
      <c r="F219" s="733">
        <v>1217545.2199999997</v>
      </c>
      <c r="G219" s="733">
        <v>3818218.2000000007</v>
      </c>
      <c r="H219" s="733">
        <f t="shared" si="78"/>
        <v>4227868.2457162943</v>
      </c>
      <c r="I219" s="408">
        <f>G219-H219</f>
        <v>-409650.04571629362</v>
      </c>
      <c r="J219" s="408">
        <f>IF(I219=0,"",I219/H219)</f>
        <v>-9.6892812620486435E-2</v>
      </c>
      <c r="K219" s="735">
        <f>D219</f>
        <v>16911472.982865177</v>
      </c>
      <c r="L219" s="100"/>
    </row>
    <row r="220" spans="1:12" x14ac:dyDescent="0.25">
      <c r="A220" s="695" t="str">
        <f t="shared" si="69"/>
        <v>Soil Conservation</v>
      </c>
      <c r="B220" s="620"/>
      <c r="C220" s="733"/>
      <c r="D220" s="733">
        <v>0</v>
      </c>
      <c r="E220" s="733"/>
      <c r="F220" s="733"/>
      <c r="G220" s="733"/>
      <c r="H220" s="733"/>
      <c r="I220" s="408">
        <f t="shared" si="37"/>
        <v>0</v>
      </c>
      <c r="J220" s="408" t="str">
        <f t="shared" si="38"/>
        <v/>
      </c>
      <c r="K220" s="735"/>
      <c r="L220" s="100"/>
    </row>
    <row r="221" spans="1:12" x14ac:dyDescent="0.25">
      <c r="A221" s="414" t="str">
        <f t="shared" si="69"/>
        <v>Trading services</v>
      </c>
      <c r="B221" s="620"/>
      <c r="C221" s="605">
        <f>C222+C226+C230+C235</f>
        <v>0</v>
      </c>
      <c r="D221" s="605">
        <f t="shared" ref="D221:I221" si="79">D222+D226+D230+D235</f>
        <v>3353046546.6774907</v>
      </c>
      <c r="E221" s="605">
        <f t="shared" si="79"/>
        <v>0</v>
      </c>
      <c r="F221" s="605">
        <f t="shared" si="79"/>
        <v>592755326.78000009</v>
      </c>
      <c r="G221" s="605">
        <f t="shared" si="79"/>
        <v>1071711617.6799998</v>
      </c>
      <c r="H221" s="605">
        <f t="shared" si="79"/>
        <v>838261636.66937268</v>
      </c>
      <c r="I221" s="605">
        <f t="shared" si="79"/>
        <v>233449981.01062715</v>
      </c>
      <c r="J221" s="605">
        <f t="shared" si="38"/>
        <v>0.27849297975532256</v>
      </c>
      <c r="K221" s="606">
        <f>K222+K226+K230+K235</f>
        <v>3353046546.6774907</v>
      </c>
      <c r="L221" s="100"/>
    </row>
    <row r="222" spans="1:12" x14ac:dyDescent="0.25">
      <c r="A222" s="607" t="str">
        <f t="shared" si="69"/>
        <v>Energy sources</v>
      </c>
      <c r="B222" s="620"/>
      <c r="C222" s="611">
        <f t="shared" ref="C222:K222" si="80">SUM(C223:C225)</f>
        <v>0</v>
      </c>
      <c r="D222" s="611">
        <f t="shared" si="80"/>
        <v>2291332272.7237678</v>
      </c>
      <c r="E222" s="611">
        <f t="shared" si="80"/>
        <v>0</v>
      </c>
      <c r="F222" s="611">
        <f t="shared" si="80"/>
        <v>481215725.31999999</v>
      </c>
      <c r="G222" s="611">
        <f t="shared" si="80"/>
        <v>766905426.63999975</v>
      </c>
      <c r="H222" s="611">
        <f t="shared" si="80"/>
        <v>572833068.18094194</v>
      </c>
      <c r="I222" s="611">
        <f t="shared" si="37"/>
        <v>194072358.45905781</v>
      </c>
      <c r="J222" s="611">
        <f t="shared" si="38"/>
        <v>0.33879391613222265</v>
      </c>
      <c r="K222" s="614">
        <f t="shared" si="80"/>
        <v>2291332272.7237678</v>
      </c>
      <c r="L222" s="100"/>
    </row>
    <row r="223" spans="1:12" x14ac:dyDescent="0.25">
      <c r="A223" s="695" t="str">
        <f t="shared" si="69"/>
        <v xml:space="preserve">Electricity </v>
      </c>
      <c r="B223" s="620"/>
      <c r="C223" s="733"/>
      <c r="D223" s="733">
        <v>2270836245.4232864</v>
      </c>
      <c r="E223" s="733"/>
      <c r="F223" s="733">
        <v>478298809.44</v>
      </c>
      <c r="G223" s="733">
        <v>761174317.41999972</v>
      </c>
      <c r="H223" s="733">
        <f t="shared" ref="H223:H224" si="81">D223/12*3</f>
        <v>567709061.35582161</v>
      </c>
      <c r="I223" s="408">
        <f t="shared" si="37"/>
        <v>193465256.06417811</v>
      </c>
      <c r="J223" s="408">
        <f t="shared" si="38"/>
        <v>0.34078239935458837</v>
      </c>
      <c r="K223" s="735">
        <f>D223</f>
        <v>2270836245.4232864</v>
      </c>
      <c r="L223" s="100"/>
    </row>
    <row r="224" spans="1:12" x14ac:dyDescent="0.25">
      <c r="A224" s="695" t="str">
        <f t="shared" ref="A224:A246" si="82">A102</f>
        <v>Street Lighting and Signal Systems</v>
      </c>
      <c r="B224" s="620"/>
      <c r="C224" s="733"/>
      <c r="D224" s="733">
        <v>20496027.300481234</v>
      </c>
      <c r="E224" s="733"/>
      <c r="F224" s="733">
        <v>2916915.88</v>
      </c>
      <c r="G224" s="733">
        <v>5731109.2200000007</v>
      </c>
      <c r="H224" s="733">
        <f t="shared" si="81"/>
        <v>5124006.8251203084</v>
      </c>
      <c r="I224" s="408">
        <f>G224-H224</f>
        <v>607102.39487969223</v>
      </c>
      <c r="J224" s="408">
        <f>IF(I224=0,"",I224/H224)</f>
        <v>0.11848196452498633</v>
      </c>
      <c r="K224" s="735">
        <f>D224</f>
        <v>20496027.300481234</v>
      </c>
      <c r="L224" s="100"/>
    </row>
    <row r="225" spans="1:12" x14ac:dyDescent="0.25">
      <c r="A225" s="695" t="str">
        <f t="shared" si="82"/>
        <v>Nonelectric Energy</v>
      </c>
      <c r="B225" s="620"/>
      <c r="C225" s="733"/>
      <c r="D225" s="733">
        <v>0</v>
      </c>
      <c r="E225" s="733"/>
      <c r="F225" s="733"/>
      <c r="G225" s="733"/>
      <c r="H225" s="733"/>
      <c r="I225" s="408">
        <f t="shared" si="37"/>
        <v>0</v>
      </c>
      <c r="J225" s="408" t="str">
        <f t="shared" si="38"/>
        <v/>
      </c>
      <c r="K225" s="735"/>
      <c r="L225" s="100"/>
    </row>
    <row r="226" spans="1:12" x14ac:dyDescent="0.25">
      <c r="A226" s="607" t="str">
        <f t="shared" si="82"/>
        <v>Water management</v>
      </c>
      <c r="B226" s="620"/>
      <c r="C226" s="611">
        <f t="shared" ref="C226:K226" si="83">SUM(C227:C229)</f>
        <v>0</v>
      </c>
      <c r="D226" s="611">
        <f t="shared" si="83"/>
        <v>0</v>
      </c>
      <c r="E226" s="611">
        <f t="shared" si="83"/>
        <v>0</v>
      </c>
      <c r="F226" s="611">
        <f t="shared" si="83"/>
        <v>80045424.280000001</v>
      </c>
      <c r="G226" s="611">
        <f t="shared" si="83"/>
        <v>217153980.39000005</v>
      </c>
      <c r="H226" s="611">
        <f t="shared" si="83"/>
        <v>0</v>
      </c>
      <c r="I226" s="611">
        <f t="shared" si="37"/>
        <v>217153980.39000005</v>
      </c>
      <c r="J226" s="611" t="e">
        <f t="shared" si="38"/>
        <v>#DIV/0!</v>
      </c>
      <c r="K226" s="614">
        <f t="shared" si="83"/>
        <v>0</v>
      </c>
      <c r="L226" s="100"/>
    </row>
    <row r="227" spans="1:12" x14ac:dyDescent="0.25">
      <c r="A227" s="695" t="str">
        <f t="shared" si="82"/>
        <v>Water Treatment</v>
      </c>
      <c r="B227" s="620"/>
      <c r="C227" s="733"/>
      <c r="D227" s="733"/>
      <c r="E227" s="733"/>
      <c r="F227" s="733"/>
      <c r="G227" s="733"/>
      <c r="H227" s="733"/>
      <c r="I227" s="408">
        <f t="shared" si="37"/>
        <v>0</v>
      </c>
      <c r="J227" s="408" t="str">
        <f t="shared" si="38"/>
        <v/>
      </c>
      <c r="K227" s="735"/>
      <c r="L227" s="100"/>
    </row>
    <row r="228" spans="1:12" x14ac:dyDescent="0.25">
      <c r="A228" s="695" t="str">
        <f t="shared" si="82"/>
        <v>Water Distribution</v>
      </c>
      <c r="B228" s="620"/>
      <c r="C228" s="733"/>
      <c r="D228" s="733"/>
      <c r="E228" s="733"/>
      <c r="F228" s="733">
        <v>80045424.280000001</v>
      </c>
      <c r="G228" s="733">
        <v>217153980.39000005</v>
      </c>
      <c r="H228" s="733"/>
      <c r="I228" s="408">
        <f>G228-H228</f>
        <v>217153980.39000005</v>
      </c>
      <c r="J228" s="408" t="e">
        <f>IF(I228=0,"",I228/H228)</f>
        <v>#DIV/0!</v>
      </c>
      <c r="K228" s="735"/>
      <c r="L228" s="100"/>
    </row>
    <row r="229" spans="1:12" x14ac:dyDescent="0.25">
      <c r="A229" s="695" t="str">
        <f t="shared" si="82"/>
        <v>Water Storage</v>
      </c>
      <c r="B229" s="620"/>
      <c r="C229" s="733"/>
      <c r="D229" s="733"/>
      <c r="E229" s="733"/>
      <c r="F229" s="733"/>
      <c r="G229" s="733"/>
      <c r="H229" s="733"/>
      <c r="I229" s="408">
        <f t="shared" si="37"/>
        <v>0</v>
      </c>
      <c r="J229" s="408" t="str">
        <f t="shared" si="38"/>
        <v/>
      </c>
      <c r="K229" s="735"/>
      <c r="L229" s="100"/>
    </row>
    <row r="230" spans="1:12" x14ac:dyDescent="0.25">
      <c r="A230" s="607" t="str">
        <f t="shared" si="82"/>
        <v>Waste water management</v>
      </c>
      <c r="B230" s="620"/>
      <c r="C230" s="611">
        <f t="shared" ref="C230:K230" si="84">SUM(C231:C234)</f>
        <v>0</v>
      </c>
      <c r="D230" s="611">
        <f t="shared" si="84"/>
        <v>931929869.0260967</v>
      </c>
      <c r="E230" s="611">
        <f t="shared" si="84"/>
        <v>0</v>
      </c>
      <c r="F230" s="611">
        <f t="shared" si="84"/>
        <v>21202574.839999996</v>
      </c>
      <c r="G230" s="611">
        <f t="shared" si="84"/>
        <v>61761650.710000001</v>
      </c>
      <c r="H230" s="611">
        <f t="shared" si="84"/>
        <v>232982467.25652418</v>
      </c>
      <c r="I230" s="611">
        <f t="shared" si="37"/>
        <v>-171220816.54652417</v>
      </c>
      <c r="J230" s="611">
        <f t="shared" si="38"/>
        <v>-0.73490859017302079</v>
      </c>
      <c r="K230" s="614">
        <f t="shared" si="84"/>
        <v>931929869.0260967</v>
      </c>
      <c r="L230" s="100"/>
    </row>
    <row r="231" spans="1:12" x14ac:dyDescent="0.25">
      <c r="A231" s="695" t="str">
        <f t="shared" si="82"/>
        <v>Public Toilets</v>
      </c>
      <c r="B231" s="620"/>
      <c r="C231" s="733"/>
      <c r="D231" s="733">
        <v>1325140.728374806</v>
      </c>
      <c r="E231" s="733"/>
      <c r="F231" s="733">
        <v>6113.58</v>
      </c>
      <c r="G231" s="733">
        <v>271065.72000000003</v>
      </c>
      <c r="H231" s="733">
        <f t="shared" ref="H231:H234" si="85">D231/12*3</f>
        <v>331285.1820937015</v>
      </c>
      <c r="I231" s="408">
        <f t="shared" si="37"/>
        <v>-60219.46209370147</v>
      </c>
      <c r="J231" s="408">
        <f t="shared" si="38"/>
        <v>-0.18177529617569449</v>
      </c>
      <c r="K231" s="735">
        <f>D231</f>
        <v>1325140.728374806</v>
      </c>
      <c r="L231" s="100"/>
    </row>
    <row r="232" spans="1:12" x14ac:dyDescent="0.25">
      <c r="A232" s="695" t="str">
        <f t="shared" si="82"/>
        <v>Sewerage</v>
      </c>
      <c r="B232" s="620"/>
      <c r="C232" s="733"/>
      <c r="D232" s="733">
        <v>225241153.38453153</v>
      </c>
      <c r="E232" s="733"/>
      <c r="F232" s="733">
        <v>19135178.039999999</v>
      </c>
      <c r="G232" s="733">
        <v>55099441.859999999</v>
      </c>
      <c r="H232" s="733">
        <f t="shared" si="85"/>
        <v>56310288.346132882</v>
      </c>
      <c r="I232" s="408">
        <f t="shared" si="37"/>
        <v>-1210846.4861328825</v>
      </c>
      <c r="J232" s="408">
        <f t="shared" si="38"/>
        <v>-2.1503112871487144E-2</v>
      </c>
      <c r="K232" s="735">
        <f>D232</f>
        <v>225241153.38453153</v>
      </c>
      <c r="L232" s="100"/>
    </row>
    <row r="233" spans="1:12" x14ac:dyDescent="0.25">
      <c r="A233" s="695" t="str">
        <f t="shared" si="82"/>
        <v>Storm Water Management</v>
      </c>
      <c r="B233" s="620"/>
      <c r="C233" s="733"/>
      <c r="D233" s="733">
        <v>560143.7006000001</v>
      </c>
      <c r="E233" s="733"/>
      <c r="F233" s="733">
        <v>2061283.22</v>
      </c>
      <c r="G233" s="733">
        <v>6391143.1299999999</v>
      </c>
      <c r="H233" s="733">
        <f t="shared" si="85"/>
        <v>140035.92515000002</v>
      </c>
      <c r="I233" s="408">
        <f>G233-H233</f>
        <v>6251107.2048499994</v>
      </c>
      <c r="J233" s="408">
        <f>IF(I233=0,"",I233/H233)</f>
        <v>44.639310935062568</v>
      </c>
      <c r="K233" s="735">
        <f>D233</f>
        <v>560143.7006000001</v>
      </c>
      <c r="L233" s="100"/>
    </row>
    <row r="234" spans="1:12" x14ac:dyDescent="0.25">
      <c r="A234" s="695" t="str">
        <f t="shared" si="82"/>
        <v>Waste Water Treatment</v>
      </c>
      <c r="B234" s="620"/>
      <c r="C234" s="733"/>
      <c r="D234" s="733">
        <v>704803431.21259034</v>
      </c>
      <c r="E234" s="733"/>
      <c r="F234" s="733"/>
      <c r="G234" s="733"/>
      <c r="H234" s="733">
        <f t="shared" si="85"/>
        <v>176200857.80314758</v>
      </c>
      <c r="I234" s="408">
        <f t="shared" si="37"/>
        <v>-176200857.80314758</v>
      </c>
      <c r="J234" s="408">
        <f t="shared" si="38"/>
        <v>-1</v>
      </c>
      <c r="K234" s="735">
        <f>D234</f>
        <v>704803431.21259034</v>
      </c>
      <c r="L234" s="100"/>
    </row>
    <row r="235" spans="1:12" x14ac:dyDescent="0.25">
      <c r="A235" s="607" t="str">
        <f t="shared" si="82"/>
        <v>Waste management</v>
      </c>
      <c r="B235" s="620"/>
      <c r="C235" s="611">
        <f t="shared" ref="C235:H235" si="86">SUM(C236:C239)</f>
        <v>0</v>
      </c>
      <c r="D235" s="611">
        <f t="shared" si="86"/>
        <v>129784404.92762612</v>
      </c>
      <c r="E235" s="611">
        <f t="shared" si="86"/>
        <v>0</v>
      </c>
      <c r="F235" s="611">
        <f t="shared" si="86"/>
        <v>10291602.340000002</v>
      </c>
      <c r="G235" s="611">
        <f t="shared" si="86"/>
        <v>25890559.939999998</v>
      </c>
      <c r="H235" s="611">
        <f t="shared" si="86"/>
        <v>32446101.23190653</v>
      </c>
      <c r="I235" s="611">
        <f t="shared" si="37"/>
        <v>-6555541.2919065319</v>
      </c>
      <c r="J235" s="611">
        <f t="shared" si="38"/>
        <v>-0.20204403743461197</v>
      </c>
      <c r="K235" s="611">
        <f>SUM(K236:K239)</f>
        <v>129784404.92762612</v>
      </c>
      <c r="L235" s="100"/>
    </row>
    <row r="236" spans="1:12" x14ac:dyDescent="0.25">
      <c r="A236" s="695" t="str">
        <f t="shared" si="82"/>
        <v>Recycling</v>
      </c>
      <c r="B236" s="620"/>
      <c r="C236" s="733"/>
      <c r="D236" s="733"/>
      <c r="E236" s="733"/>
      <c r="F236" s="733"/>
      <c r="G236" s="733"/>
      <c r="H236" s="733"/>
      <c r="I236" s="408">
        <f>G236-H236</f>
        <v>0</v>
      </c>
      <c r="J236" s="408" t="str">
        <f>IF(I236=0,"",I236/H236)</f>
        <v/>
      </c>
      <c r="K236" s="735"/>
      <c r="L236" s="100"/>
    </row>
    <row r="237" spans="1:12" x14ac:dyDescent="0.25">
      <c r="A237" s="695" t="str">
        <f t="shared" si="82"/>
        <v>Solid Waste Disposal (Landfill Sites)</v>
      </c>
      <c r="B237" s="620"/>
      <c r="C237" s="733"/>
      <c r="D237" s="733">
        <v>13353688.704158884</v>
      </c>
      <c r="E237" s="733"/>
      <c r="F237" s="733">
        <v>-412594.67</v>
      </c>
      <c r="G237" s="733">
        <v>1690205.9100000001</v>
      </c>
      <c r="H237" s="733">
        <f t="shared" ref="H237:H238" si="87">D237/12*3</f>
        <v>3338422.1760397209</v>
      </c>
      <c r="I237" s="408">
        <f>G237-H237</f>
        <v>-1648216.2660397207</v>
      </c>
      <c r="J237" s="408">
        <f>IF(I237=0,"",I237/H237)</f>
        <v>-0.49371115428994505</v>
      </c>
      <c r="K237" s="735">
        <f>D237</f>
        <v>13353688.704158884</v>
      </c>
      <c r="L237" s="100"/>
    </row>
    <row r="238" spans="1:12" x14ac:dyDescent="0.25">
      <c r="A238" s="695" t="str">
        <f t="shared" si="82"/>
        <v>Solid Waste Removal</v>
      </c>
      <c r="B238" s="620"/>
      <c r="C238" s="733"/>
      <c r="D238" s="733">
        <v>116430716.22346723</v>
      </c>
      <c r="E238" s="733"/>
      <c r="F238" s="733">
        <v>10704197.010000002</v>
      </c>
      <c r="G238" s="733">
        <v>24200354.029999997</v>
      </c>
      <c r="H238" s="733">
        <f t="shared" si="87"/>
        <v>29107679.055866808</v>
      </c>
      <c r="I238" s="408">
        <f>G238-H238</f>
        <v>-4907325.0258668102</v>
      </c>
      <c r="J238" s="408">
        <f>IF(I238=0,"",I238/H238)</f>
        <v>-0.16859210988440909</v>
      </c>
      <c r="K238" s="735">
        <f>D238</f>
        <v>116430716.22346723</v>
      </c>
      <c r="L238" s="100"/>
    </row>
    <row r="239" spans="1:12" x14ac:dyDescent="0.25">
      <c r="A239" s="695" t="str">
        <f t="shared" si="82"/>
        <v>Street Cleaning</v>
      </c>
      <c r="B239" s="415"/>
      <c r="C239" s="733"/>
      <c r="D239" s="733"/>
      <c r="E239" s="733"/>
      <c r="F239" s="733"/>
      <c r="G239" s="733"/>
      <c r="H239" s="733"/>
      <c r="I239" s="408">
        <f t="shared" si="37"/>
        <v>0</v>
      </c>
      <c r="J239" s="408" t="str">
        <f t="shared" si="38"/>
        <v/>
      </c>
      <c r="K239" s="735"/>
      <c r="L239" s="100"/>
    </row>
    <row r="240" spans="1:12" x14ac:dyDescent="0.25">
      <c r="A240" s="414" t="str">
        <f t="shared" si="82"/>
        <v>Other</v>
      </c>
      <c r="B240" s="415"/>
      <c r="C240" s="611">
        <f t="shared" ref="C240:K240" si="88">SUM(C241:C246)</f>
        <v>0</v>
      </c>
      <c r="D240" s="611">
        <f t="shared" si="88"/>
        <v>81300979.882271051</v>
      </c>
      <c r="E240" s="611">
        <f t="shared" si="88"/>
        <v>0</v>
      </c>
      <c r="F240" s="611">
        <f t="shared" si="88"/>
        <v>6759048.2000000002</v>
      </c>
      <c r="G240" s="611">
        <f t="shared" si="88"/>
        <v>13974847.340000002</v>
      </c>
      <c r="H240" s="611">
        <f t="shared" si="88"/>
        <v>20325244.970567763</v>
      </c>
      <c r="I240" s="611">
        <f t="shared" si="37"/>
        <v>-6350397.6305677611</v>
      </c>
      <c r="J240" s="611">
        <f t="shared" si="38"/>
        <v>-0.31243892212682001</v>
      </c>
      <c r="K240" s="614">
        <f t="shared" si="88"/>
        <v>81300979.882271051</v>
      </c>
      <c r="L240" s="100"/>
    </row>
    <row r="241" spans="1:12" x14ac:dyDescent="0.25">
      <c r="A241" s="607" t="str">
        <f t="shared" si="82"/>
        <v>Abattoirs</v>
      </c>
      <c r="B241" s="415"/>
      <c r="C241" s="733"/>
      <c r="D241" s="733"/>
      <c r="E241" s="733"/>
      <c r="F241" s="733"/>
      <c r="G241" s="733"/>
      <c r="H241" s="733"/>
      <c r="I241" s="408">
        <f t="shared" si="37"/>
        <v>0</v>
      </c>
      <c r="J241" s="408" t="str">
        <f t="shared" si="38"/>
        <v/>
      </c>
      <c r="K241" s="735"/>
      <c r="L241" s="100"/>
    </row>
    <row r="242" spans="1:12" x14ac:dyDescent="0.25">
      <c r="A242" s="607" t="str">
        <f t="shared" si="82"/>
        <v>Air Transport</v>
      </c>
      <c r="B242" s="415"/>
      <c r="C242" s="733"/>
      <c r="D242" s="733">
        <v>30392698.58867228</v>
      </c>
      <c r="E242" s="733"/>
      <c r="F242" s="733">
        <v>1519923.85</v>
      </c>
      <c r="G242" s="733">
        <v>4529787.4800000004</v>
      </c>
      <c r="H242" s="733">
        <f t="shared" ref="H242:H246" si="89">D242/12*3</f>
        <v>7598174.6471680701</v>
      </c>
      <c r="I242" s="408">
        <f t="shared" si="37"/>
        <v>-3068387.1671680696</v>
      </c>
      <c r="J242" s="408">
        <f t="shared" si="38"/>
        <v>-0.4038321451734061</v>
      </c>
      <c r="K242" s="735">
        <f>D242</f>
        <v>30392698.58867228</v>
      </c>
      <c r="L242" s="100"/>
    </row>
    <row r="243" spans="1:12" x14ac:dyDescent="0.25">
      <c r="A243" s="607" t="str">
        <f t="shared" si="82"/>
        <v xml:space="preserve">Forestry </v>
      </c>
      <c r="B243" s="415"/>
      <c r="C243" s="733"/>
      <c r="D243" s="733">
        <v>5026381.4873491293</v>
      </c>
      <c r="E243" s="733"/>
      <c r="F243" s="733">
        <v>3167960.71</v>
      </c>
      <c r="G243" s="733">
        <v>3129933.27</v>
      </c>
      <c r="H243" s="733">
        <f t="shared" si="89"/>
        <v>1256595.3718372823</v>
      </c>
      <c r="I243" s="408">
        <f>G243-H243</f>
        <v>1873337.8981627177</v>
      </c>
      <c r="J243" s="408">
        <f>IF(I243=0,"",I243/H243)</f>
        <v>1.4908043910934425</v>
      </c>
      <c r="K243" s="735">
        <f>D243</f>
        <v>5026381.4873491293</v>
      </c>
      <c r="L243" s="100"/>
    </row>
    <row r="244" spans="1:12" x14ac:dyDescent="0.25">
      <c r="A244" s="607" t="str">
        <f t="shared" si="82"/>
        <v>Licensing and Regulation</v>
      </c>
      <c r="B244" s="415"/>
      <c r="C244" s="733"/>
      <c r="D244" s="733">
        <v>10803274.511466645</v>
      </c>
      <c r="E244" s="733"/>
      <c r="F244" s="733">
        <v>336808.20999999996</v>
      </c>
      <c r="G244" s="733">
        <v>1008869.0599999999</v>
      </c>
      <c r="H244" s="733">
        <f t="shared" si="89"/>
        <v>2700818.6278666612</v>
      </c>
      <c r="I244" s="408">
        <f t="shared" si="37"/>
        <v>-1691949.5678666611</v>
      </c>
      <c r="J244" s="408">
        <f t="shared" si="38"/>
        <v>-0.62645804883355249</v>
      </c>
      <c r="K244" s="735">
        <f>D244</f>
        <v>10803274.511466645</v>
      </c>
      <c r="L244" s="100"/>
    </row>
    <row r="245" spans="1:12" x14ac:dyDescent="0.25">
      <c r="A245" s="607" t="str">
        <f t="shared" si="82"/>
        <v>Markets</v>
      </c>
      <c r="B245" s="415"/>
      <c r="C245" s="733"/>
      <c r="D245" s="733">
        <v>32893514.314352129</v>
      </c>
      <c r="E245" s="733"/>
      <c r="F245" s="733">
        <v>1673628.3800000001</v>
      </c>
      <c r="G245" s="733">
        <v>4812509.5900000008</v>
      </c>
      <c r="H245" s="733">
        <f t="shared" si="89"/>
        <v>8223378.5785880322</v>
      </c>
      <c r="I245" s="408">
        <f>G245-H245</f>
        <v>-3410868.9885880314</v>
      </c>
      <c r="J245" s="408">
        <f>IF(I245=0,"",I245/H245)</f>
        <v>-0.41477708413780501</v>
      </c>
      <c r="K245" s="735">
        <f>D245</f>
        <v>32893514.314352129</v>
      </c>
      <c r="L245" s="100"/>
    </row>
    <row r="246" spans="1:12" x14ac:dyDescent="0.25">
      <c r="A246" s="607" t="str">
        <f t="shared" si="82"/>
        <v>Tourism</v>
      </c>
      <c r="B246" s="415"/>
      <c r="C246" s="733"/>
      <c r="D246" s="733">
        <v>2185110.9804308736</v>
      </c>
      <c r="E246" s="733"/>
      <c r="F246" s="733">
        <v>60727.05</v>
      </c>
      <c r="G246" s="733">
        <v>493747.94</v>
      </c>
      <c r="H246" s="733">
        <f t="shared" si="89"/>
        <v>546277.74510771839</v>
      </c>
      <c r="I246" s="408">
        <f>G246-H246</f>
        <v>-52529.805107718392</v>
      </c>
      <c r="J246" s="408">
        <f>IF(I246=0,"",I246/H246)</f>
        <v>-9.6159518812834383E-2</v>
      </c>
      <c r="K246" s="735">
        <f>D246</f>
        <v>2185110.9804308736</v>
      </c>
      <c r="L246" s="100"/>
    </row>
    <row r="247" spans="1:12" x14ac:dyDescent="0.25">
      <c r="A247" s="615" t="str">
        <f>"Total "&amp;A127</f>
        <v>Total Expenditure - Functional</v>
      </c>
      <c r="B247" s="415">
        <v>3</v>
      </c>
      <c r="C247" s="545">
        <f t="shared" ref="C247:I247" si="90">C128+C148+C197+C221+C240</f>
        <v>0</v>
      </c>
      <c r="D247" s="545">
        <f t="shared" si="90"/>
        <v>5516853313.5446301</v>
      </c>
      <c r="E247" s="545">
        <f t="shared" si="90"/>
        <v>0</v>
      </c>
      <c r="F247" s="545">
        <f t="shared" si="90"/>
        <v>738677409.71000004</v>
      </c>
      <c r="G247" s="545">
        <f t="shared" si="90"/>
        <v>1458301309.0999999</v>
      </c>
      <c r="H247" s="545">
        <f t="shared" si="90"/>
        <v>1379213328.3861575</v>
      </c>
      <c r="I247" s="545">
        <f t="shared" si="90"/>
        <v>79087980.713842332</v>
      </c>
      <c r="J247" s="545">
        <f>IF(I247=0,"",I247/H247)</f>
        <v>5.7342819334833872E-2</v>
      </c>
      <c r="K247" s="597">
        <f>K128+K148+K197+K221+K240</f>
        <v>5516853313.5446301</v>
      </c>
      <c r="L247" s="100"/>
    </row>
    <row r="248" spans="1:12" x14ac:dyDescent="0.25">
      <c r="A248" s="621" t="str">
        <f>result</f>
        <v>Surplus/ (Deficit) for the year</v>
      </c>
      <c r="B248" s="622"/>
      <c r="C248" s="76">
        <f t="shared" ref="C248:H248" si="91">C125-C247</f>
        <v>0</v>
      </c>
      <c r="D248" s="76">
        <f t="shared" si="91"/>
        <v>927224369.32743168</v>
      </c>
      <c r="E248" s="76">
        <f t="shared" si="91"/>
        <v>0</v>
      </c>
      <c r="F248" s="76">
        <f t="shared" si="91"/>
        <v>-265252073.86000013</v>
      </c>
      <c r="G248" s="76">
        <f t="shared" si="91"/>
        <v>145341528.27000022</v>
      </c>
      <c r="H248" s="76">
        <f t="shared" si="91"/>
        <v>231806092.33185792</v>
      </c>
      <c r="I248" s="634">
        <f>G248-H248</f>
        <v>-86464564.0618577</v>
      </c>
      <c r="J248" s="634">
        <f>IF(I248=0,"",I248/H248)</f>
        <v>-0.37300384641346451</v>
      </c>
      <c r="K248" s="234">
        <f>K125-K247</f>
        <v>927224369.32743168</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5"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93961</v>
      </c>
      <c r="I256" s="628">
        <f>I125-'C4-FinPerf RE'!I53</f>
        <v>-7376583.3480153084</v>
      </c>
      <c r="J256" s="629"/>
      <c r="K256" s="628">
        <f>K125-'C4-FinPerf RE'!K53</f>
        <v>375844</v>
      </c>
    </row>
    <row r="257" spans="1:11" x14ac:dyDescent="0.25">
      <c r="A257" s="81" t="s">
        <v>179</v>
      </c>
      <c r="B257" s="64"/>
      <c r="C257" s="628">
        <f>C247-'C4-FinPerf RE'!C36</f>
        <v>0</v>
      </c>
      <c r="D257" s="628">
        <f>D247-'C4-FinPerf RE'!D36</f>
        <v>375844.00000190735</v>
      </c>
      <c r="E257" s="628">
        <f>E247-'C4-FinPerf RE'!E36</f>
        <v>0</v>
      </c>
      <c r="F257" s="628">
        <f>F247-'C4-FinPerf RE'!F36</f>
        <v>0</v>
      </c>
      <c r="G257" s="628">
        <f>G247-'C4-FinPerf RE'!G36</f>
        <v>0</v>
      </c>
      <c r="H257" s="628">
        <f>H247-'C4-FinPerf RE'!H36</f>
        <v>93961.000000476837</v>
      </c>
      <c r="I257" s="628">
        <f>I247-'C4-FinPerf RE'!I36</f>
        <v>-93961.000000536442</v>
      </c>
      <c r="J257" s="629"/>
      <c r="K257" s="628">
        <f>K247-'C4-FinPerf RE'!K36</f>
        <v>375844.00000190735</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75F389-5A4D-4FEC-9AD2-A8B50AD79758}">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Sifiso Khoza</cp:lastModifiedBy>
  <cp:lastPrinted>2016-12-13T05:59:10Z</cp:lastPrinted>
  <dcterms:created xsi:type="dcterms:W3CDTF">2004-04-07T16:19:08Z</dcterms:created>
  <dcterms:modified xsi:type="dcterms:W3CDTF">2020-10-14T09:52:58Z</dcterms:modified>
</cp:coreProperties>
</file>